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-28995" yWindow="-1125" windowWidth="1845" windowHeight="15825" tabRatio="571"/>
  </bookViews>
  <sheets>
    <sheet name="F1 and F6 Fix" sheetId="2" r:id="rId1"/>
    <sheet name="F8 MISO" sheetId="6" r:id="rId2"/>
    <sheet name="F8 non-MISO Wind" sheetId="7" r:id="rId3"/>
    <sheet name="F8 HQ Maritimes" sheetId="8" r:id="rId4"/>
  </sheets>
  <calcPr calcId="114210" concurrentCalc="0"/>
</workbook>
</file>

<file path=xl/calcChain.xml><?xml version="1.0" encoding="utf-8"?>
<calcChain xmlns="http://schemas.openxmlformats.org/spreadsheetml/2006/main">
  <c r="F54" i="6"/>
  <c r="F55"/>
  <c r="F56"/>
  <c r="F58"/>
  <c r="U45" i="7"/>
  <c r="V45"/>
  <c r="W45"/>
  <c r="X45"/>
  <c r="Y45"/>
  <c r="U46"/>
  <c r="V46"/>
  <c r="W46"/>
  <c r="X46"/>
  <c r="Y46"/>
  <c r="U47"/>
  <c r="V47"/>
  <c r="W47"/>
  <c r="X47"/>
  <c r="Y47"/>
  <c r="U48"/>
  <c r="V48"/>
  <c r="W48"/>
  <c r="X48"/>
  <c r="Y48"/>
  <c r="U49"/>
  <c r="V49"/>
  <c r="W49"/>
  <c r="X49"/>
  <c r="Y49"/>
  <c r="T46"/>
  <c r="T47"/>
  <c r="T48"/>
  <c r="T49"/>
  <c r="T45"/>
  <c r="M53"/>
  <c r="N53"/>
  <c r="O53"/>
  <c r="P53"/>
  <c r="Q53"/>
  <c r="M54"/>
  <c r="N54"/>
  <c r="O54"/>
  <c r="P54"/>
  <c r="Q54"/>
  <c r="M55"/>
  <c r="N55"/>
  <c r="O55"/>
  <c r="P55"/>
  <c r="Q55"/>
  <c r="M56"/>
  <c r="N56"/>
  <c r="O56"/>
  <c r="P56"/>
  <c r="Q56"/>
  <c r="M57"/>
  <c r="N57"/>
  <c r="O57"/>
  <c r="P57"/>
  <c r="Q57"/>
  <c r="L57"/>
  <c r="AA35"/>
  <c r="AA36"/>
  <c r="AA37"/>
  <c r="AA38"/>
  <c r="AA39"/>
  <c r="M36"/>
  <c r="N36"/>
  <c r="O36"/>
  <c r="M37"/>
  <c r="N37"/>
  <c r="O37"/>
  <c r="M38"/>
  <c r="N38"/>
  <c r="O38"/>
  <c r="M39"/>
  <c r="N39"/>
  <c r="O39"/>
  <c r="O35"/>
  <c r="N35"/>
  <c r="M35"/>
  <c r="Y36"/>
  <c r="Y37"/>
  <c r="Y38"/>
  <c r="Y39"/>
  <c r="Y35"/>
  <c r="L46"/>
  <c r="L47"/>
  <c r="L48"/>
  <c r="L49"/>
  <c r="M45"/>
  <c r="N45"/>
  <c r="O45"/>
  <c r="P45"/>
  <c r="Q45"/>
  <c r="M46"/>
  <c r="N46"/>
  <c r="O46"/>
  <c r="P46"/>
  <c r="Q46"/>
  <c r="M47"/>
  <c r="N47"/>
  <c r="O47"/>
  <c r="P47"/>
  <c r="Q47"/>
  <c r="M48"/>
  <c r="N48"/>
  <c r="O48"/>
  <c r="P48"/>
  <c r="Q48"/>
  <c r="M49"/>
  <c r="N49"/>
  <c r="O49"/>
  <c r="P49"/>
  <c r="Q49"/>
  <c r="X36"/>
  <c r="X37"/>
  <c r="X38"/>
  <c r="X39"/>
  <c r="X35"/>
  <c r="W36"/>
  <c r="W37"/>
  <c r="W38"/>
  <c r="W39"/>
  <c r="W35"/>
  <c r="V36"/>
  <c r="V37"/>
  <c r="V38"/>
  <c r="V39"/>
  <c r="V35"/>
  <c r="U36"/>
  <c r="U37"/>
  <c r="U38"/>
  <c r="U39"/>
  <c r="U35"/>
  <c r="T36"/>
  <c r="T37"/>
  <c r="T38"/>
  <c r="T39"/>
  <c r="T35"/>
  <c r="L35"/>
  <c r="L53"/>
  <c r="L71"/>
  <c r="M71"/>
  <c r="N71"/>
  <c r="O71"/>
  <c r="P71"/>
  <c r="Q71"/>
  <c r="Q80"/>
  <c r="L36"/>
  <c r="L54"/>
  <c r="L72"/>
  <c r="M72"/>
  <c r="N72"/>
  <c r="O72"/>
  <c r="P72"/>
  <c r="Q72"/>
  <c r="Q81"/>
  <c r="L37"/>
  <c r="L55"/>
  <c r="L73"/>
  <c r="M73"/>
  <c r="N73"/>
  <c r="O73"/>
  <c r="P73"/>
  <c r="Q73"/>
  <c r="Q82"/>
  <c r="L38"/>
  <c r="L56"/>
  <c r="L74"/>
  <c r="M74"/>
  <c r="N74"/>
  <c r="O74"/>
  <c r="P74"/>
  <c r="Q74"/>
  <c r="Q83"/>
  <c r="L39"/>
  <c r="L75"/>
  <c r="M75"/>
  <c r="N75"/>
  <c r="O75"/>
  <c r="P75"/>
  <c r="Q75"/>
  <c r="Q84"/>
  <c r="P80"/>
  <c r="P81"/>
  <c r="P82"/>
  <c r="P83"/>
  <c r="P84"/>
  <c r="O80"/>
  <c r="O81"/>
  <c r="O82"/>
  <c r="O83"/>
  <c r="O84"/>
  <c r="N80"/>
  <c r="N81"/>
  <c r="N82"/>
  <c r="N83"/>
  <c r="N84"/>
  <c r="M80"/>
  <c r="M81"/>
  <c r="M82"/>
  <c r="M83"/>
  <c r="M84"/>
  <c r="L80"/>
  <c r="L81"/>
  <c r="L82"/>
  <c r="L83"/>
  <c r="L84"/>
  <c r="Q76"/>
  <c r="P76"/>
  <c r="Q62"/>
  <c r="Q63"/>
  <c r="Q64"/>
  <c r="Q65"/>
  <c r="Q66"/>
  <c r="P62"/>
  <c r="P63"/>
  <c r="P64"/>
  <c r="P65"/>
  <c r="P66"/>
  <c r="O62"/>
  <c r="O63"/>
  <c r="O64"/>
  <c r="O65"/>
  <c r="O66"/>
  <c r="N62"/>
  <c r="N63"/>
  <c r="N64"/>
  <c r="N65"/>
  <c r="N66"/>
  <c r="M62"/>
  <c r="M63"/>
  <c r="M64"/>
  <c r="M65"/>
  <c r="M66"/>
  <c r="L62"/>
  <c r="L63"/>
  <c r="L64"/>
  <c r="L65"/>
  <c r="L66"/>
  <c r="Q58"/>
  <c r="P58"/>
  <c r="L45"/>
  <c r="G45"/>
  <c r="G46"/>
  <c r="G47"/>
  <c r="G48"/>
  <c r="G49"/>
  <c r="F45"/>
  <c r="F46"/>
  <c r="F47"/>
  <c r="F48"/>
  <c r="F49"/>
  <c r="E45"/>
  <c r="E46"/>
  <c r="E47"/>
  <c r="E48"/>
  <c r="E49"/>
  <c r="D45"/>
  <c r="D46"/>
  <c r="D47"/>
  <c r="D48"/>
  <c r="D49"/>
  <c r="C45"/>
  <c r="C46"/>
  <c r="C47"/>
  <c r="C48"/>
  <c r="C49"/>
  <c r="B45"/>
  <c r="B46"/>
  <c r="B47"/>
  <c r="B48"/>
  <c r="B49"/>
  <c r="D14"/>
  <c r="E14"/>
  <c r="F14"/>
  <c r="F40" i="6"/>
  <c r="G40"/>
  <c r="F41"/>
  <c r="G41"/>
  <c r="F10"/>
  <c r="G10"/>
  <c r="F19"/>
  <c r="G19"/>
  <c r="F23"/>
  <c r="G23"/>
  <c r="F24"/>
  <c r="G24"/>
  <c r="F25"/>
  <c r="G25"/>
  <c r="F26"/>
  <c r="G26"/>
  <c r="F27"/>
  <c r="G27"/>
  <c r="F28"/>
  <c r="G28"/>
  <c r="Q9" i="8"/>
  <c r="P9"/>
  <c r="O9"/>
  <c r="N9"/>
  <c r="M9"/>
  <c r="L9"/>
  <c r="Q8"/>
  <c r="P8"/>
  <c r="O8"/>
  <c r="N8"/>
  <c r="M8"/>
  <c r="L8"/>
  <c r="Q7"/>
  <c r="P7"/>
  <c r="O7"/>
  <c r="N7"/>
  <c r="M7"/>
  <c r="L7"/>
  <c r="Q6"/>
  <c r="P6"/>
  <c r="O6"/>
  <c r="N6"/>
  <c r="M6"/>
  <c r="L6"/>
  <c r="B28" i="7"/>
  <c r="C28"/>
  <c r="D28"/>
  <c r="E28"/>
  <c r="F28"/>
  <c r="E5"/>
  <c r="F5"/>
  <c r="D6"/>
  <c r="E6"/>
  <c r="F6"/>
  <c r="D7"/>
  <c r="E7"/>
  <c r="F7"/>
  <c r="D8"/>
  <c r="E8"/>
  <c r="F8"/>
  <c r="D9"/>
  <c r="E9"/>
  <c r="F9"/>
  <c r="D10"/>
  <c r="E10"/>
  <c r="F10"/>
  <c r="D11"/>
  <c r="E11"/>
  <c r="F11"/>
  <c r="D12"/>
  <c r="E12"/>
  <c r="F12"/>
  <c r="D13"/>
  <c r="E13"/>
  <c r="F13"/>
  <c r="D15"/>
  <c r="E15"/>
  <c r="F15"/>
  <c r="E16"/>
  <c r="F16"/>
  <c r="D17"/>
  <c r="E17"/>
  <c r="F17"/>
  <c r="D18"/>
  <c r="E18"/>
  <c r="F18"/>
  <c r="E19"/>
  <c r="F19"/>
  <c r="D20"/>
  <c r="E20"/>
  <c r="F20"/>
  <c r="D21"/>
  <c r="E21"/>
  <c r="F21"/>
  <c r="D22"/>
  <c r="E22"/>
  <c r="F22"/>
  <c r="E23"/>
  <c r="F23"/>
  <c r="D24"/>
  <c r="E24"/>
  <c r="F24"/>
  <c r="D25"/>
  <c r="E25"/>
  <c r="F25"/>
  <c r="E26"/>
  <c r="F26"/>
  <c r="D27"/>
  <c r="E27"/>
  <c r="F27"/>
  <c r="E4"/>
  <c r="F4"/>
  <c r="D5"/>
  <c r="D16"/>
  <c r="D19"/>
  <c r="D23"/>
  <c r="D26"/>
  <c r="D4"/>
  <c r="N38" i="6"/>
  <c r="O38"/>
  <c r="M38"/>
  <c r="C40"/>
  <c r="C41"/>
  <c r="D40"/>
  <c r="D41"/>
  <c r="E40"/>
  <c r="E41"/>
  <c r="B40"/>
  <c r="B41"/>
  <c r="C42"/>
  <c r="T40"/>
  <c r="B59"/>
  <c r="D59"/>
  <c r="I35"/>
  <c r="X35"/>
  <c r="I36"/>
  <c r="X36"/>
  <c r="I37"/>
  <c r="X37"/>
  <c r="I39"/>
  <c r="X39"/>
  <c r="X40"/>
  <c r="Y35"/>
  <c r="M35"/>
  <c r="D42"/>
  <c r="N35"/>
  <c r="E42"/>
  <c r="O35"/>
  <c r="L35"/>
  <c r="Q46"/>
  <c r="Y36"/>
  <c r="M36"/>
  <c r="N36"/>
  <c r="O36"/>
  <c r="L36"/>
  <c r="Q47"/>
  <c r="Y37"/>
  <c r="M37"/>
  <c r="N37"/>
  <c r="O37"/>
  <c r="L37"/>
  <c r="Q48"/>
  <c r="L38"/>
  <c r="Q49"/>
  <c r="Y39"/>
  <c r="M39"/>
  <c r="N39"/>
  <c r="O39"/>
  <c r="L39"/>
  <c r="Q50"/>
  <c r="Q51"/>
  <c r="Q52"/>
  <c r="P46"/>
  <c r="P47"/>
  <c r="P48"/>
  <c r="P49"/>
  <c r="P50"/>
  <c r="P51"/>
  <c r="P52"/>
  <c r="O46"/>
  <c r="O47"/>
  <c r="O48"/>
  <c r="O49"/>
  <c r="O50"/>
  <c r="O51"/>
  <c r="O52"/>
  <c r="N46"/>
  <c r="N47"/>
  <c r="N48"/>
  <c r="N49"/>
  <c r="N50"/>
  <c r="N51"/>
  <c r="N52"/>
  <c r="M46"/>
  <c r="M47"/>
  <c r="M48"/>
  <c r="M49"/>
  <c r="M50"/>
  <c r="M51"/>
  <c r="M52"/>
  <c r="L46"/>
  <c r="L47"/>
  <c r="L48"/>
  <c r="L49"/>
  <c r="L50"/>
  <c r="L51"/>
  <c r="L52"/>
  <c r="C46"/>
  <c r="C47"/>
  <c r="C48"/>
  <c r="C49"/>
  <c r="C50"/>
  <c r="C51"/>
  <c r="C52"/>
  <c r="D46"/>
  <c r="D47"/>
  <c r="D48"/>
  <c r="D49"/>
  <c r="D50"/>
  <c r="D51"/>
  <c r="D52"/>
  <c r="E46"/>
  <c r="E47"/>
  <c r="E48"/>
  <c r="E49"/>
  <c r="E50"/>
  <c r="E51"/>
  <c r="E52"/>
  <c r="F46"/>
  <c r="F47"/>
  <c r="F48"/>
  <c r="F49"/>
  <c r="F50"/>
  <c r="F51"/>
  <c r="F52"/>
  <c r="G46"/>
  <c r="G47"/>
  <c r="G48"/>
  <c r="G49"/>
  <c r="G50"/>
  <c r="G51"/>
  <c r="G52"/>
  <c r="B46"/>
  <c r="B47"/>
  <c r="B48"/>
  <c r="B49"/>
  <c r="B50"/>
  <c r="B51"/>
  <c r="B52"/>
  <c r="I40"/>
  <c r="B10"/>
  <c r="B19"/>
  <c r="L14"/>
  <c r="L5"/>
  <c r="C10"/>
  <c r="C19"/>
  <c r="M14"/>
  <c r="M5"/>
  <c r="D10"/>
  <c r="D19"/>
  <c r="N14"/>
  <c r="N5"/>
  <c r="E10"/>
  <c r="E19"/>
  <c r="O14"/>
  <c r="O5"/>
  <c r="P14"/>
  <c r="P5"/>
  <c r="Q14"/>
  <c r="Q5"/>
  <c r="L15"/>
  <c r="L6"/>
  <c r="M15"/>
  <c r="M6"/>
  <c r="N15"/>
  <c r="N6"/>
  <c r="O15"/>
  <c r="O6"/>
  <c r="P15"/>
  <c r="P6"/>
  <c r="Q15"/>
  <c r="Q6"/>
  <c r="L16"/>
  <c r="L7"/>
  <c r="M16"/>
  <c r="M7"/>
  <c r="N16"/>
  <c r="N7"/>
  <c r="O16"/>
  <c r="O7"/>
  <c r="P16"/>
  <c r="P7"/>
  <c r="Q16"/>
  <c r="Q7"/>
  <c r="L17"/>
  <c r="L8"/>
  <c r="M17"/>
  <c r="M8"/>
  <c r="N17"/>
  <c r="N8"/>
  <c r="O17"/>
  <c r="O8"/>
  <c r="P17"/>
  <c r="P8"/>
  <c r="Q17"/>
  <c r="Q8"/>
  <c r="L18"/>
  <c r="L9"/>
  <c r="M18"/>
  <c r="M9"/>
  <c r="N18"/>
  <c r="N9"/>
  <c r="O18"/>
  <c r="O9"/>
  <c r="P18"/>
  <c r="P9"/>
  <c r="Q18"/>
  <c r="Q9"/>
  <c r="L10"/>
  <c r="M10"/>
  <c r="N10"/>
  <c r="O10"/>
  <c r="P10"/>
  <c r="Q10"/>
  <c r="L19"/>
  <c r="M19"/>
  <c r="N19"/>
  <c r="O19"/>
  <c r="P19"/>
  <c r="Q19"/>
  <c r="B23"/>
  <c r="C23"/>
  <c r="D23"/>
  <c r="E23"/>
  <c r="L23"/>
  <c r="M23"/>
  <c r="N23"/>
  <c r="O23"/>
  <c r="P23"/>
  <c r="Q23"/>
  <c r="B24"/>
  <c r="C24"/>
  <c r="D24"/>
  <c r="E24"/>
  <c r="L24"/>
  <c r="M24"/>
  <c r="N24"/>
  <c r="O24"/>
  <c r="P24"/>
  <c r="Q24"/>
  <c r="B25"/>
  <c r="C25"/>
  <c r="D25"/>
  <c r="E25"/>
  <c r="L25"/>
  <c r="M25"/>
  <c r="N25"/>
  <c r="O25"/>
  <c r="P25"/>
  <c r="Q25"/>
  <c r="B26"/>
  <c r="C26"/>
  <c r="D26"/>
  <c r="E26"/>
  <c r="L26"/>
  <c r="M26"/>
  <c r="N26"/>
  <c r="O26"/>
  <c r="P26"/>
  <c r="Q26"/>
  <c r="B27"/>
  <c r="C27"/>
  <c r="D27"/>
  <c r="E27"/>
  <c r="L27"/>
  <c r="M27"/>
  <c r="N27"/>
  <c r="O27"/>
  <c r="P27"/>
  <c r="Q27"/>
  <c r="B28"/>
  <c r="C28"/>
  <c r="D28"/>
  <c r="E28"/>
  <c r="L28"/>
  <c r="M28"/>
  <c r="N28"/>
  <c r="O28"/>
  <c r="P28"/>
  <c r="Q28"/>
  <c r="H40"/>
  <c r="L40"/>
  <c r="M40"/>
  <c r="N40"/>
  <c r="O40"/>
  <c r="U40"/>
  <c r="V40"/>
  <c r="W40"/>
  <c r="B42"/>
  <c r="T46"/>
  <c r="U46"/>
  <c r="V46"/>
  <c r="W46"/>
  <c r="X46"/>
  <c r="Y46"/>
  <c r="W47"/>
  <c r="W48"/>
  <c r="W50"/>
  <c r="AA46"/>
  <c r="T47"/>
  <c r="U47"/>
  <c r="V47"/>
  <c r="X47"/>
  <c r="Y47"/>
  <c r="AA47"/>
  <c r="T48"/>
  <c r="U48"/>
  <c r="V48"/>
  <c r="X48"/>
  <c r="Y48"/>
  <c r="AA48"/>
  <c r="T49"/>
  <c r="U49"/>
  <c r="V49"/>
  <c r="W49"/>
  <c r="X49"/>
  <c r="Y49"/>
  <c r="T50"/>
  <c r="U50"/>
  <c r="V50"/>
  <c r="X50"/>
  <c r="Y50"/>
  <c r="AA50"/>
  <c r="T51"/>
  <c r="U51"/>
  <c r="V51"/>
  <c r="W51"/>
  <c r="X51"/>
  <c r="Y51"/>
  <c r="L55"/>
  <c r="M55"/>
  <c r="N55"/>
  <c r="O55"/>
  <c r="P55"/>
  <c r="Q55"/>
  <c r="L56"/>
  <c r="M56"/>
  <c r="N56"/>
  <c r="O56"/>
  <c r="P56"/>
  <c r="Q56"/>
  <c r="L57"/>
  <c r="M57"/>
  <c r="N57"/>
  <c r="O57"/>
  <c r="P57"/>
  <c r="Q57"/>
  <c r="L58"/>
  <c r="M58"/>
  <c r="N58"/>
  <c r="O58"/>
  <c r="P58"/>
  <c r="Q58"/>
  <c r="L59"/>
  <c r="M59"/>
  <c r="N59"/>
  <c r="O59"/>
  <c r="P59"/>
  <c r="Q59"/>
  <c r="L60"/>
  <c r="M60"/>
  <c r="N60"/>
  <c r="O60"/>
  <c r="P60"/>
  <c r="Q60"/>
  <c r="L64"/>
  <c r="M64"/>
  <c r="N64"/>
  <c r="O64"/>
  <c r="P64"/>
  <c r="Q64"/>
  <c r="L65"/>
  <c r="M65"/>
  <c r="N65"/>
  <c r="O65"/>
  <c r="P65"/>
  <c r="Q65"/>
  <c r="L66"/>
  <c r="M66"/>
  <c r="N66"/>
  <c r="O66"/>
  <c r="P66"/>
  <c r="Q66"/>
  <c r="L67"/>
  <c r="M67"/>
  <c r="N67"/>
  <c r="O67"/>
  <c r="P67"/>
  <c r="Q67"/>
  <c r="L68"/>
  <c r="M68"/>
  <c r="N68"/>
  <c r="O68"/>
  <c r="P68"/>
  <c r="Q68"/>
  <c r="L69"/>
  <c r="M69"/>
  <c r="N69"/>
  <c r="O69"/>
  <c r="P69"/>
  <c r="Q69"/>
  <c r="L73"/>
  <c r="M73"/>
  <c r="N73"/>
  <c r="O73"/>
  <c r="P73"/>
  <c r="Q73"/>
  <c r="L74"/>
  <c r="M74"/>
  <c r="N74"/>
  <c r="O74"/>
  <c r="P74"/>
  <c r="Q74"/>
  <c r="L75"/>
  <c r="M75"/>
  <c r="N75"/>
  <c r="O75"/>
  <c r="P75"/>
  <c r="Q75"/>
  <c r="L76"/>
  <c r="M76"/>
  <c r="N76"/>
  <c r="O76"/>
  <c r="P76"/>
  <c r="Q76"/>
  <c r="L77"/>
  <c r="M77"/>
  <c r="N77"/>
  <c r="O77"/>
  <c r="P77"/>
  <c r="Q77"/>
  <c r="L78"/>
  <c r="M78"/>
  <c r="N78"/>
  <c r="O78"/>
  <c r="P78"/>
  <c r="Q78"/>
  <c r="L82"/>
  <c r="M82"/>
  <c r="N82"/>
  <c r="O82"/>
  <c r="P82"/>
  <c r="Q82"/>
  <c r="L83"/>
  <c r="M83"/>
  <c r="N83"/>
  <c r="O83"/>
  <c r="P83"/>
  <c r="Q83"/>
  <c r="L84"/>
  <c r="M84"/>
  <c r="N84"/>
  <c r="O84"/>
  <c r="P84"/>
  <c r="Q84"/>
  <c r="L85"/>
  <c r="M85"/>
  <c r="N85"/>
  <c r="O85"/>
  <c r="P85"/>
  <c r="Q85"/>
  <c r="L86"/>
  <c r="M86"/>
  <c r="N86"/>
  <c r="O86"/>
  <c r="P86"/>
  <c r="Q86"/>
  <c r="L87"/>
  <c r="M87"/>
  <c r="N87"/>
  <c r="O87"/>
  <c r="P87"/>
  <c r="Q87"/>
  <c r="B11" i="2"/>
  <c r="H11"/>
  <c r="I6"/>
  <c r="L6"/>
  <c r="B33"/>
  <c r="B34"/>
  <c r="B43"/>
  <c r="L38"/>
  <c r="L28"/>
  <c r="C11"/>
  <c r="M6"/>
  <c r="C33"/>
  <c r="C34"/>
  <c r="C43"/>
  <c r="M38"/>
  <c r="M28"/>
  <c r="M47"/>
  <c r="D11"/>
  <c r="N6"/>
  <c r="D33"/>
  <c r="D34"/>
  <c r="D43"/>
  <c r="N38"/>
  <c r="N28"/>
  <c r="N47"/>
  <c r="E11"/>
  <c r="O6"/>
  <c r="E33"/>
  <c r="E34"/>
  <c r="E43"/>
  <c r="O38"/>
  <c r="O28"/>
  <c r="O47"/>
  <c r="F11"/>
  <c r="P6"/>
  <c r="F33"/>
  <c r="F34"/>
  <c r="F43"/>
  <c r="P38"/>
  <c r="P28"/>
  <c r="P47"/>
  <c r="G11"/>
  <c r="Q6"/>
  <c r="G33"/>
  <c r="G34"/>
  <c r="G43"/>
  <c r="Q38"/>
  <c r="Q28"/>
  <c r="Q47"/>
  <c r="I7"/>
  <c r="L7"/>
  <c r="L39"/>
  <c r="L29"/>
  <c r="M7"/>
  <c r="M39"/>
  <c r="M29"/>
  <c r="M48"/>
  <c r="N7"/>
  <c r="N39"/>
  <c r="N29"/>
  <c r="N48"/>
  <c r="O7"/>
  <c r="O39"/>
  <c r="O29"/>
  <c r="O48"/>
  <c r="P7"/>
  <c r="P39"/>
  <c r="P29"/>
  <c r="P48"/>
  <c r="Q7"/>
  <c r="Q39"/>
  <c r="Q29"/>
  <c r="Q48"/>
  <c r="I8"/>
  <c r="L8"/>
  <c r="L40"/>
  <c r="L30"/>
  <c r="M8"/>
  <c r="M40"/>
  <c r="M30"/>
  <c r="M49"/>
  <c r="N8"/>
  <c r="N40"/>
  <c r="N30"/>
  <c r="N49"/>
  <c r="O8"/>
  <c r="O40"/>
  <c r="O30"/>
  <c r="O49"/>
  <c r="P8"/>
  <c r="P40"/>
  <c r="P30"/>
  <c r="P49"/>
  <c r="Q8"/>
  <c r="Q40"/>
  <c r="Q30"/>
  <c r="Q49"/>
  <c r="I9"/>
  <c r="L9"/>
  <c r="L41"/>
  <c r="L31"/>
  <c r="M9"/>
  <c r="M41"/>
  <c r="M31"/>
  <c r="M50"/>
  <c r="N9"/>
  <c r="N41"/>
  <c r="N31"/>
  <c r="N50"/>
  <c r="O9"/>
  <c r="O41"/>
  <c r="O31"/>
  <c r="O50"/>
  <c r="P9"/>
  <c r="P41"/>
  <c r="P31"/>
  <c r="P50"/>
  <c r="Q9"/>
  <c r="Q41"/>
  <c r="Q31"/>
  <c r="Q50"/>
  <c r="I10"/>
  <c r="L10"/>
  <c r="L42"/>
  <c r="L32"/>
  <c r="M10"/>
  <c r="M42"/>
  <c r="M32"/>
  <c r="M51"/>
  <c r="N10"/>
  <c r="N42"/>
  <c r="N32"/>
  <c r="N51"/>
  <c r="O10"/>
  <c r="O42"/>
  <c r="O32"/>
  <c r="O51"/>
  <c r="P10"/>
  <c r="P42"/>
  <c r="P32"/>
  <c r="P51"/>
  <c r="Q10"/>
  <c r="Q42"/>
  <c r="Q32"/>
  <c r="Q51"/>
  <c r="L48"/>
  <c r="L49"/>
  <c r="L50"/>
  <c r="L51"/>
  <c r="L47"/>
  <c r="Q52"/>
  <c r="P52"/>
  <c r="O52"/>
  <c r="N52"/>
  <c r="M52"/>
  <c r="L52"/>
  <c r="G47"/>
  <c r="G48"/>
  <c r="G49"/>
  <c r="G50"/>
  <c r="G51"/>
  <c r="G52"/>
  <c r="F47"/>
  <c r="F48"/>
  <c r="F49"/>
  <c r="F50"/>
  <c r="F51"/>
  <c r="F52"/>
  <c r="E47"/>
  <c r="E48"/>
  <c r="E49"/>
  <c r="E50"/>
  <c r="E51"/>
  <c r="E52"/>
  <c r="D47"/>
  <c r="D48"/>
  <c r="D49"/>
  <c r="D50"/>
  <c r="D51"/>
  <c r="D52"/>
  <c r="C47"/>
  <c r="C48"/>
  <c r="C49"/>
  <c r="C50"/>
  <c r="C51"/>
  <c r="C52"/>
  <c r="B47"/>
  <c r="B48"/>
  <c r="B49"/>
  <c r="B50"/>
  <c r="B51"/>
  <c r="B52"/>
  <c r="Q43"/>
  <c r="P43"/>
  <c r="O43"/>
  <c r="N43"/>
  <c r="M43"/>
  <c r="L43"/>
  <c r="Q33"/>
  <c r="P33"/>
  <c r="O33"/>
  <c r="N33"/>
  <c r="M33"/>
  <c r="L33"/>
  <c r="Q16"/>
  <c r="Q17"/>
  <c r="Q18"/>
  <c r="Q19"/>
  <c r="Q20"/>
  <c r="Q21"/>
  <c r="P16"/>
  <c r="P17"/>
  <c r="P18"/>
  <c r="P19"/>
  <c r="P20"/>
  <c r="P21"/>
  <c r="O16"/>
  <c r="O17"/>
  <c r="O18"/>
  <c r="O19"/>
  <c r="O20"/>
  <c r="O21"/>
  <c r="N16"/>
  <c r="N17"/>
  <c r="N18"/>
  <c r="N19"/>
  <c r="N20"/>
  <c r="N21"/>
  <c r="M16"/>
  <c r="M17"/>
  <c r="M18"/>
  <c r="M19"/>
  <c r="M20"/>
  <c r="M21"/>
  <c r="L16"/>
  <c r="L17"/>
  <c r="L18"/>
  <c r="L19"/>
  <c r="L20"/>
  <c r="L21"/>
  <c r="Q11"/>
  <c r="P11"/>
  <c r="O11"/>
  <c r="N11"/>
  <c r="M11"/>
  <c r="L11"/>
  <c r="G16"/>
  <c r="G17"/>
  <c r="G18"/>
  <c r="G19"/>
  <c r="G20"/>
  <c r="G21"/>
  <c r="F16"/>
  <c r="F17"/>
  <c r="F18"/>
  <c r="F19"/>
  <c r="F20"/>
  <c r="F21"/>
  <c r="E16"/>
  <c r="E17"/>
  <c r="E18"/>
  <c r="E19"/>
  <c r="E20"/>
  <c r="E21"/>
  <c r="D16"/>
  <c r="D17"/>
  <c r="D18"/>
  <c r="D19"/>
  <c r="D20"/>
  <c r="D21"/>
  <c r="C16"/>
  <c r="C17"/>
  <c r="C18"/>
  <c r="C19"/>
  <c r="C20"/>
  <c r="C21"/>
  <c r="B16"/>
  <c r="B17"/>
  <c r="B18"/>
  <c r="B19"/>
  <c r="B20"/>
  <c r="B21"/>
</calcChain>
</file>

<file path=xl/sharedStrings.xml><?xml version="1.0" encoding="utf-8"?>
<sst xmlns="http://schemas.openxmlformats.org/spreadsheetml/2006/main" count="354" uniqueCount="116">
  <si>
    <t>MISO_IN</t>
  </si>
  <si>
    <t>MISO_MI</t>
  </si>
  <si>
    <t>MISO_MO-IL</t>
  </si>
  <si>
    <t>MISO_W</t>
  </si>
  <si>
    <t>MISO_WUMS</t>
  </si>
  <si>
    <t>CT's</t>
  </si>
  <si>
    <t>Future Builds</t>
  </si>
  <si>
    <t>Current F8S1</t>
  </si>
  <si>
    <t>MISO_MO_IL</t>
  </si>
  <si>
    <t>NEEM Region</t>
  </si>
  <si>
    <t>NREL Onshore Potential Class 3, MW</t>
  </si>
  <si>
    <t>Class 3 Avg Capacity Factor (x% of CRA)</t>
  </si>
  <si>
    <t>NREL Onshore Potential (Class 4+), MW</t>
  </si>
  <si>
    <t>Avg Class 4+ Capacity Factor (CRA)</t>
  </si>
  <si>
    <t>Cum CC (MW)</t>
  </si>
  <si>
    <t>Current F6S10</t>
  </si>
  <si>
    <t>Cum CT (MW)</t>
  </si>
  <si>
    <t>F1S3</t>
  </si>
  <si>
    <t>F6S10</t>
  </si>
  <si>
    <t>Current F1S3</t>
  </si>
  <si>
    <t>2011 Peak (MW)</t>
  </si>
  <si>
    <t>MISO Total</t>
  </si>
  <si>
    <t>New Cum CTs</t>
  </si>
  <si>
    <t>New Annual CTs</t>
  </si>
  <si>
    <t>F6S10-F1S3</t>
  </si>
  <si>
    <t>Total Installed ACTIVE Wind Capacity (MW)</t>
  </si>
  <si>
    <t>in the Region as of the year of construction</t>
  </si>
  <si>
    <t>New Annual Build = new F1S3 builds + the amount above F1S3 times the  proportion of cumulative Wind Builds</t>
  </si>
  <si>
    <t>Active Wind Capacity Proportions</t>
  </si>
  <si>
    <t>MISO total</t>
  </si>
  <si>
    <t>Cumulative Coal Retirements of Capacity (MW)</t>
  </si>
  <si>
    <t xml:space="preserve"> Cum. Coal Retirement Capacity Proportions</t>
  </si>
  <si>
    <t>New Annual Builds based on total for MISO times proportion of total MISO Cum. Coal Retirements</t>
  </si>
  <si>
    <t>as of year on new construction</t>
  </si>
  <si>
    <t>Annual Future Builds</t>
  </si>
  <si>
    <t>Proportion</t>
  </si>
  <si>
    <t>Forced in</t>
  </si>
  <si>
    <t>Annual Wind Builds Forced in to NEEM</t>
  </si>
  <si>
    <t>Forced-in Cum CC (MW)</t>
  </si>
  <si>
    <t>Cum Wind New Builds</t>
  </si>
  <si>
    <t>Cum. New Wind forced in to NEEM</t>
  </si>
  <si>
    <t>Annual Class 4 Wind Build Forced In to NEEM</t>
  </si>
  <si>
    <t>Cum. Class 4 Wind Build Forced In to NEEM</t>
  </si>
  <si>
    <t>Annual Class 3 Wind Build Forced In to NEEM</t>
  </si>
  <si>
    <t>Cum. Class 3 Wind Build Forced In to NEEM</t>
  </si>
  <si>
    <t>Old Total Wind</t>
  </si>
  <si>
    <t>Old Cum Build</t>
  </si>
  <si>
    <t>Existing Wind</t>
  </si>
  <si>
    <t>2015 Forced Build</t>
  </si>
  <si>
    <t>Post 2015 Forced Build</t>
  </si>
  <si>
    <t>Post 2015 Forced Build Proportions</t>
  </si>
  <si>
    <t>Forced Build by year</t>
  </si>
  <si>
    <t>2030 MISO East Proportions</t>
  </si>
  <si>
    <t>Total Installed Wind (existing and forced builds)</t>
  </si>
  <si>
    <t>MISO East</t>
  </si>
  <si>
    <t>Wind Potential</t>
  </si>
  <si>
    <t>Proportion per RGOS</t>
  </si>
  <si>
    <t>Proportion per Wind Potential</t>
  </si>
  <si>
    <t>F8S1 Forced in According to:</t>
  </si>
  <si>
    <t>RGOS</t>
  </si>
  <si>
    <t>MISO-E</t>
  </si>
  <si>
    <t>MISO_W Forced in</t>
  </si>
  <si>
    <t>Pseudo-Gen Forced In</t>
  </si>
  <si>
    <t>HQ_NEISO</t>
  </si>
  <si>
    <t>HQ_NY</t>
  </si>
  <si>
    <t>Maritimes</t>
  </si>
  <si>
    <t>HQ_IESO</t>
  </si>
  <si>
    <t>HQ/Maritimes Pseudo Generators</t>
  </si>
  <si>
    <t>MISO CC's</t>
  </si>
  <si>
    <t>MISO Wind</t>
  </si>
  <si>
    <t>Annual Pseudo Gen Builds Forced Into NEEM</t>
  </si>
  <si>
    <t>ENT</t>
  </si>
  <si>
    <t>FRCC</t>
  </si>
  <si>
    <t>IESO</t>
  </si>
  <si>
    <t>MAPP_CA</t>
  </si>
  <si>
    <t>MAPP_US</t>
  </si>
  <si>
    <t>NE</t>
  </si>
  <si>
    <t>NEISO</t>
  </si>
  <si>
    <t>NonRTO_Midwest</t>
  </si>
  <si>
    <t>NYISO_A-F</t>
  </si>
  <si>
    <t>NYISO_G-I</t>
  </si>
  <si>
    <t>NYISO_J-K</t>
  </si>
  <si>
    <t>PJM_E</t>
  </si>
  <si>
    <t>PJM_ROM</t>
  </si>
  <si>
    <t>PJM_ROR</t>
  </si>
  <si>
    <t>SOCO</t>
  </si>
  <si>
    <t>SPP_N</t>
  </si>
  <si>
    <t>SPP_S</t>
  </si>
  <si>
    <t>TVA</t>
  </si>
  <si>
    <t>VACAR</t>
  </si>
  <si>
    <t>F8S1</t>
  </si>
  <si>
    <t>F8S5</t>
  </si>
  <si>
    <t>2030 Cumulative Wind Build</t>
  </si>
  <si>
    <t>Diff</t>
  </si>
  <si>
    <t>% change from F8S1</t>
  </si>
  <si>
    <t>For adjustment, see F8 MISO fix sheet</t>
  </si>
  <si>
    <t>Already adjusted for MISO east wind redistribution</t>
  </si>
  <si>
    <t>SPP</t>
  </si>
  <si>
    <t xml:space="preserve"> </t>
  </si>
  <si>
    <t>Non-MISO Wind</t>
  </si>
  <si>
    <t>2030 Cum Wind</t>
  </si>
  <si>
    <t>2015 Wind</t>
  </si>
  <si>
    <t>Forced Wind</t>
  </si>
  <si>
    <t>Remaining Forced wind</t>
  </si>
  <si>
    <t>2015 Installed Wind</t>
  </si>
  <si>
    <t>Pre-existing Wind</t>
  </si>
  <si>
    <t>2020-30 Adjusted Force-in %</t>
  </si>
  <si>
    <t>Total Installed Wind (existing and forced builds) (NEEM Model can force in builds beyond this)</t>
  </si>
  <si>
    <t>% F8S1 Wind Forced in</t>
  </si>
  <si>
    <t>Total shift of SPP wind is greater than 10% (see box F28), therefore NE also receiving adjustment</t>
  </si>
  <si>
    <t>If F8S5 produces 90% or less wind than F8S1, then force build to 2030, 90% of wind build</t>
  </si>
  <si>
    <t>Adjustment Determination</t>
  </si>
  <si>
    <t>Class 3 MW</t>
  </si>
  <si>
    <t>Class 3 CF</t>
  </si>
  <si>
    <t>Class 4 MW</t>
  </si>
  <si>
    <t>Class 4 CF</t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</si>
</sst>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43" formatCode="_(* #,##0.00_);_(* \(#,##0.00\);_(* &quot;-&quot;??_);_(@_)"/>
    <numFmt numFmtId="164" formatCode="#,##0;\(#,##0\)"/>
    <numFmt numFmtId="165" formatCode="0.0%"/>
    <numFmt numFmtId="166" formatCode="_(* #,##0_);_(* \(#,##0\);_(* &quot;-&quot;??_);_(@_)"/>
  </numFmts>
  <fonts count="18"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name val="Arial"/>
    </font>
    <font>
      <sz val="11"/>
      <name val="Arial"/>
    </font>
    <font>
      <sz val="10"/>
      <name val="Arial"/>
    </font>
    <font>
      <b/>
      <sz val="11"/>
      <name val="Times New Roman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5"/>
      <color indexed="56"/>
      <name val="Calibri"/>
      <family val="2"/>
    </font>
    <font>
      <sz val="12"/>
      <color indexed="10"/>
      <name val="Calibri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5"/>
      <color theme="3"/>
      <name val="Calibri"/>
      <family val="2"/>
      <scheme val="minor"/>
    </font>
    <font>
      <sz val="12"/>
      <color rgb="FF3F3F7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/>
      <right/>
      <top style="thick">
        <color indexed="62"/>
      </top>
      <bottom/>
      <diagonal/>
    </border>
    <border>
      <left/>
      <right/>
      <top/>
      <bottom style="thin">
        <color indexed="23"/>
      </bottom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18" applyNumberFormat="0" applyFill="0" applyAlignment="0" applyProtection="0"/>
    <xf numFmtId="0" fontId="17" fillId="8" borderId="17" applyNumberFormat="0" applyAlignment="0" applyProtection="0"/>
    <xf numFmtId="9" fontId="2" fillId="0" borderId="0" applyFont="0" applyFill="0" applyBorder="0" applyAlignment="0" applyProtection="0"/>
  </cellStyleXfs>
  <cellXfs count="95">
    <xf numFmtId="0" fontId="0" fillId="0" borderId="0" xfId="0"/>
    <xf numFmtId="1" fontId="0" fillId="0" borderId="0" xfId="0" applyNumberFormat="1"/>
    <xf numFmtId="0" fontId="3" fillId="0" borderId="1" xfId="0" applyNumberFormat="1" applyFont="1" applyFill="1" applyBorder="1" applyAlignment="1"/>
    <xf numFmtId="0" fontId="3" fillId="0" borderId="1" xfId="0" applyNumberFormat="1" applyFont="1" applyFill="1" applyBorder="1" applyAlignment="1">
      <alignment wrapText="1"/>
    </xf>
    <xf numFmtId="0" fontId="4" fillId="2" borderId="2" xfId="0" applyNumberFormat="1" applyFont="1" applyFill="1" applyBorder="1" applyAlignment="1"/>
    <xf numFmtId="164" fontId="5" fillId="3" borderId="1" xfId="0" applyNumberFormat="1" applyFont="1" applyFill="1" applyBorder="1" applyAlignment="1"/>
    <xf numFmtId="165" fontId="5" fillId="2" borderId="1" xfId="0" applyNumberFormat="1" applyFont="1" applyFill="1" applyBorder="1" applyAlignment="1"/>
    <xf numFmtId="3" fontId="5" fillId="2" borderId="1" xfId="0" applyNumberFormat="1" applyFont="1" applyFill="1" applyBorder="1" applyAlignment="1"/>
    <xf numFmtId="0" fontId="4" fillId="2" borderId="3" xfId="0" applyNumberFormat="1" applyFont="1" applyFill="1" applyBorder="1" applyAlignment="1"/>
    <xf numFmtId="164" fontId="5" fillId="2" borderId="1" xfId="0" applyNumberFormat="1" applyFont="1" applyFill="1" applyBorder="1" applyAlignment="1"/>
    <xf numFmtId="0" fontId="4" fillId="2" borderId="4" xfId="0" applyNumberFormat="1" applyFont="1" applyFill="1" applyBorder="1" applyAlignment="1"/>
    <xf numFmtId="165" fontId="5" fillId="0" borderId="1" xfId="5" applyNumberFormat="1" applyFont="1" applyFill="1" applyBorder="1" applyAlignment="1"/>
    <xf numFmtId="165" fontId="5" fillId="2" borderId="1" xfId="5" applyNumberFormat="1" applyFont="1" applyFill="1" applyBorder="1" applyAlignment="1"/>
    <xf numFmtId="3" fontId="5" fillId="4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 wrapText="1"/>
    </xf>
    <xf numFmtId="1" fontId="0" fillId="0" borderId="5" xfId="0" applyNumberFormat="1" applyBorder="1"/>
    <xf numFmtId="9" fontId="0" fillId="0" borderId="0" xfId="5" applyFont="1"/>
    <xf numFmtId="166" fontId="0" fillId="0" borderId="0" xfId="1" applyNumberFormat="1" applyFont="1"/>
    <xf numFmtId="9" fontId="0" fillId="0" borderId="5" xfId="5" applyFont="1" applyBorder="1"/>
    <xf numFmtId="166" fontId="0" fillId="0" borderId="0" xfId="0" applyNumberFormat="1"/>
    <xf numFmtId="166" fontId="0" fillId="0" borderId="5" xfId="1" applyNumberFormat="1" applyFont="1" applyBorder="1"/>
    <xf numFmtId="0" fontId="16" fillId="0" borderId="18" xfId="3"/>
    <xf numFmtId="0" fontId="7" fillId="0" borderId="0" xfId="0" applyFont="1"/>
    <xf numFmtId="0" fontId="0" fillId="0" borderId="6" xfId="0" applyBorder="1"/>
    <xf numFmtId="1" fontId="0" fillId="0" borderId="7" xfId="0" applyNumberFormat="1" applyBorder="1"/>
    <xf numFmtId="1" fontId="0" fillId="0" borderId="8" xfId="0" applyNumberFormat="1" applyBorder="1"/>
    <xf numFmtId="1" fontId="16" fillId="0" borderId="18" xfId="3" applyNumberFormat="1"/>
    <xf numFmtId="9" fontId="0" fillId="0" borderId="0" xfId="0" applyNumberFormat="1"/>
    <xf numFmtId="9" fontId="17" fillId="8" borderId="17" xfId="4" applyNumberFormat="1"/>
    <xf numFmtId="165" fontId="17" fillId="8" borderId="17" xfId="4" applyNumberFormat="1"/>
    <xf numFmtId="3" fontId="0" fillId="0" borderId="0" xfId="0" applyNumberFormat="1"/>
    <xf numFmtId="165" fontId="0" fillId="0" borderId="0" xfId="0" applyNumberFormat="1"/>
    <xf numFmtId="41" fontId="0" fillId="0" borderId="0" xfId="0" applyNumberFormat="1"/>
    <xf numFmtId="41" fontId="1" fillId="0" borderId="5" xfId="2" applyFont="1" applyBorder="1"/>
    <xf numFmtId="0" fontId="7" fillId="0" borderId="0" xfId="0" applyFont="1" applyFill="1"/>
    <xf numFmtId="9" fontId="1" fillId="0" borderId="0" xfId="5" applyFont="1"/>
    <xf numFmtId="9" fontId="1" fillId="0" borderId="5" xfId="5" applyFont="1" applyBorder="1"/>
    <xf numFmtId="41" fontId="1" fillId="0" borderId="0" xfId="2" applyFont="1"/>
    <xf numFmtId="166" fontId="1" fillId="0" borderId="0" xfId="1" applyNumberFormat="1" applyFont="1"/>
    <xf numFmtId="41" fontId="1" fillId="0" borderId="0" xfId="2" applyFont="1" applyBorder="1"/>
    <xf numFmtId="41" fontId="1" fillId="0" borderId="0" xfId="2" applyFont="1" applyFill="1" applyBorder="1"/>
    <xf numFmtId="164" fontId="0" fillId="0" borderId="0" xfId="0" applyNumberFormat="1"/>
    <xf numFmtId="1" fontId="0" fillId="0" borderId="0" xfId="0" applyNumberFormat="1" applyBorder="1"/>
    <xf numFmtId="9" fontId="17" fillId="8" borderId="9" xfId="4" applyNumberFormat="1" applyBorder="1"/>
    <xf numFmtId="9" fontId="17" fillId="0" borderId="9" xfId="4" applyNumberFormat="1" applyFill="1" applyBorder="1"/>
    <xf numFmtId="0" fontId="0" fillId="0" borderId="10" xfId="0" applyBorder="1"/>
    <xf numFmtId="9" fontId="17" fillId="8" borderId="11" xfId="4" applyNumberFormat="1" applyBorder="1"/>
    <xf numFmtId="0" fontId="0" fillId="0" borderId="12" xfId="0" applyBorder="1"/>
    <xf numFmtId="9" fontId="17" fillId="8" borderId="13" xfId="4" applyNumberFormat="1" applyBorder="1"/>
    <xf numFmtId="166" fontId="1" fillId="5" borderId="0" xfId="1" applyNumberFormat="1" applyFont="1" applyFill="1"/>
    <xf numFmtId="0" fontId="9" fillId="0" borderId="18" xfId="3" applyFont="1"/>
    <xf numFmtId="0" fontId="0" fillId="0" borderId="0" xfId="0" applyBorder="1"/>
    <xf numFmtId="0" fontId="11" fillId="0" borderId="0" xfId="0" applyFont="1" applyBorder="1"/>
    <xf numFmtId="0" fontId="11" fillId="0" borderId="0" xfId="0" applyFont="1" applyBorder="1"/>
    <xf numFmtId="0" fontId="0" fillId="0" borderId="0" xfId="0" applyFill="1" applyBorder="1"/>
    <xf numFmtId="9" fontId="17" fillId="0" borderId="0" xfId="4" applyNumberFormat="1" applyFill="1" applyBorder="1"/>
    <xf numFmtId="9" fontId="17" fillId="0" borderId="0" xfId="4" applyNumberFormat="1" applyFill="1" applyBorder="1"/>
    <xf numFmtId="165" fontId="17" fillId="0" borderId="0" xfId="4" applyNumberFormat="1" applyFill="1" applyBorder="1"/>
    <xf numFmtId="9" fontId="17" fillId="6" borderId="0" xfId="4" applyNumberFormat="1" applyFill="1" applyBorder="1"/>
    <xf numFmtId="0" fontId="0" fillId="0" borderId="0" xfId="0" applyFill="1" applyBorder="1"/>
    <xf numFmtId="166" fontId="1" fillId="0" borderId="0" xfId="1" applyNumberFormat="1" applyFont="1" applyFill="1"/>
    <xf numFmtId="9" fontId="0" fillId="0" borderId="0" xfId="0" applyNumberFormat="1" applyBorder="1"/>
    <xf numFmtId="0" fontId="0" fillId="0" borderId="0" xfId="0" applyBorder="1" applyAlignment="1">
      <alignment wrapText="1"/>
    </xf>
    <xf numFmtId="3" fontId="0" fillId="0" borderId="0" xfId="0" applyNumberFormat="1" applyBorder="1"/>
    <xf numFmtId="41" fontId="0" fillId="0" borderId="0" xfId="0" applyNumberFormat="1" applyBorder="1"/>
    <xf numFmtId="0" fontId="1" fillId="0" borderId="0" xfId="0" applyFont="1"/>
    <xf numFmtId="0" fontId="12" fillId="0" borderId="0" xfId="0" applyFont="1"/>
    <xf numFmtId="0" fontId="1" fillId="0" borderId="0" xfId="0" applyFont="1" applyBorder="1"/>
    <xf numFmtId="0" fontId="1" fillId="0" borderId="0" xfId="0" applyFont="1" applyBorder="1"/>
    <xf numFmtId="3" fontId="1" fillId="0" borderId="0" xfId="0" applyNumberFormat="1" applyFont="1" applyBorder="1"/>
    <xf numFmtId="3" fontId="1" fillId="0" borderId="0" xfId="0" applyNumberFormat="1" applyFont="1" applyBorder="1"/>
    <xf numFmtId="165" fontId="1" fillId="0" borderId="0" xfId="0" applyNumberFormat="1" applyFont="1" applyBorder="1"/>
    <xf numFmtId="0" fontId="1" fillId="5" borderId="0" xfId="0" applyFont="1" applyFill="1" applyBorder="1"/>
    <xf numFmtId="0" fontId="10" fillId="0" borderId="0" xfId="0" applyFont="1" applyBorder="1"/>
    <xf numFmtId="0" fontId="12" fillId="0" borderId="0" xfId="0" applyFont="1" applyBorder="1"/>
    <xf numFmtId="3" fontId="12" fillId="0" borderId="0" xfId="0" applyNumberFormat="1" applyFont="1" applyBorder="1"/>
    <xf numFmtId="3" fontId="12" fillId="0" borderId="0" xfId="0" applyNumberFormat="1" applyFont="1" applyBorder="1"/>
    <xf numFmtId="165" fontId="12" fillId="0" borderId="0" xfId="0" applyNumberFormat="1" applyFont="1" applyBorder="1"/>
    <xf numFmtId="0" fontId="12" fillId="5" borderId="0" xfId="0" applyFont="1" applyFill="1" applyBorder="1"/>
    <xf numFmtId="0" fontId="12" fillId="7" borderId="0" xfId="0" applyFont="1" applyFill="1" applyBorder="1"/>
    <xf numFmtId="0" fontId="12" fillId="0" borderId="0" xfId="0" applyFont="1" applyFill="1" applyBorder="1"/>
    <xf numFmtId="0" fontId="12" fillId="5" borderId="0" xfId="0" applyFont="1" applyFill="1" applyBorder="1"/>
    <xf numFmtId="0" fontId="13" fillId="0" borderId="1" xfId="0" applyNumberFormat="1" applyFont="1" applyFill="1" applyBorder="1" applyAlignment="1"/>
    <xf numFmtId="0" fontId="14" fillId="0" borderId="1" xfId="0" applyNumberFormat="1" applyFont="1" applyFill="1" applyBorder="1" applyAlignment="1">
      <alignment wrapText="1"/>
    </xf>
    <xf numFmtId="0" fontId="15" fillId="0" borderId="2" xfId="0" applyNumberFormat="1" applyFont="1" applyFill="1" applyBorder="1" applyAlignment="1"/>
    <xf numFmtId="164" fontId="14" fillId="0" borderId="1" xfId="0" applyNumberFormat="1" applyFont="1" applyFill="1" applyBorder="1" applyAlignment="1"/>
    <xf numFmtId="165" fontId="14" fillId="0" borderId="1" xfId="0" applyNumberFormat="1" applyFont="1" applyFill="1" applyBorder="1" applyAlignment="1"/>
    <xf numFmtId="3" fontId="14" fillId="0" borderId="1" xfId="0" applyNumberFormat="1" applyFont="1" applyFill="1" applyBorder="1" applyAlignment="1"/>
    <xf numFmtId="165" fontId="14" fillId="0" borderId="1" xfId="5" applyNumberFormat="1" applyFont="1" applyFill="1" applyBorder="1" applyAlignment="1"/>
    <xf numFmtId="0" fontId="15" fillId="0" borderId="3" xfId="0" applyNumberFormat="1" applyFont="1" applyFill="1" applyBorder="1" applyAlignment="1"/>
    <xf numFmtId="0" fontId="15" fillId="0" borderId="4" xfId="0" applyNumberFormat="1" applyFont="1" applyFill="1" applyBorder="1" applyAlignment="1"/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6">
    <cellStyle name="Comma" xfId="1" builtinId="3"/>
    <cellStyle name="Comma [0]" xfId="2" builtinId="6"/>
    <cellStyle name="Heading 1" xfId="3" builtinId="16"/>
    <cellStyle name="Input" xfId="4" builtinId="20"/>
    <cellStyle name="Normal" xfId="0" builtinId="0"/>
    <cellStyle name="Percent" xfId="5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R52"/>
  <sheetViews>
    <sheetView tabSelected="1" zoomScale="75" workbookViewId="0">
      <selection activeCell="O47" sqref="O47:O51"/>
    </sheetView>
  </sheetViews>
  <sheetFormatPr defaultColWidth="11" defaultRowHeight="15.75"/>
  <cols>
    <col min="1" max="1" width="12.875" customWidth="1"/>
    <col min="11" max="11" width="12.375" bestFit="1" customWidth="1"/>
  </cols>
  <sheetData>
    <row r="2" spans="1:18" ht="20.25" thickBot="1">
      <c r="A2" s="21" t="s">
        <v>17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8" ht="16.5" thickTop="1">
      <c r="A3" t="s">
        <v>6</v>
      </c>
    </row>
    <row r="4" spans="1:18">
      <c r="A4" t="s">
        <v>5</v>
      </c>
      <c r="B4" s="1" t="s">
        <v>19</v>
      </c>
      <c r="C4" s="1"/>
      <c r="D4" s="1"/>
      <c r="E4" s="1"/>
      <c r="F4" s="1"/>
      <c r="G4" s="1"/>
      <c r="K4" t="s">
        <v>23</v>
      </c>
    </row>
    <row r="5" spans="1:18" ht="29.25">
      <c r="B5" s="1">
        <v>2015</v>
      </c>
      <c r="C5" s="1">
        <v>2020</v>
      </c>
      <c r="D5" s="1">
        <v>2025</v>
      </c>
      <c r="E5" s="1">
        <v>2030</v>
      </c>
      <c r="F5" s="1">
        <v>2035</v>
      </c>
      <c r="G5" s="1">
        <v>2040</v>
      </c>
      <c r="H5" s="14" t="s">
        <v>20</v>
      </c>
      <c r="L5">
        <v>2015</v>
      </c>
      <c r="M5">
        <v>2020</v>
      </c>
      <c r="N5">
        <v>2025</v>
      </c>
      <c r="O5">
        <v>2030</v>
      </c>
      <c r="P5">
        <v>2035</v>
      </c>
      <c r="Q5">
        <v>2040</v>
      </c>
    </row>
    <row r="6" spans="1:18">
      <c r="A6" t="s">
        <v>0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3">
        <v>17792</v>
      </c>
      <c r="I6" s="16">
        <f>H6/$H$11</f>
        <v>0.18698110431511025</v>
      </c>
      <c r="J6" s="16"/>
      <c r="K6" t="s">
        <v>0</v>
      </c>
      <c r="L6" s="17">
        <f>B$11*$I6</f>
        <v>0</v>
      </c>
      <c r="M6" s="17">
        <f t="shared" ref="M6:Q10" si="0">C$11*$I6</f>
        <v>389.80324778779664</v>
      </c>
      <c r="N6" s="17">
        <f t="shared" si="0"/>
        <v>0</v>
      </c>
      <c r="O6" s="17">
        <f t="shared" si="0"/>
        <v>469.78628496962818</v>
      </c>
      <c r="P6" s="17">
        <f t="shared" si="0"/>
        <v>733.57174769321307</v>
      </c>
      <c r="Q6" s="17">
        <f t="shared" si="0"/>
        <v>0</v>
      </c>
    </row>
    <row r="7" spans="1:18">
      <c r="A7" t="s">
        <v>1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3">
        <v>19930</v>
      </c>
      <c r="I7" s="16">
        <f>H7/$H$11</f>
        <v>0.20944994430081762</v>
      </c>
      <c r="J7" s="16"/>
      <c r="K7" t="s">
        <v>1</v>
      </c>
      <c r="L7" s="17">
        <f>B$11*$I7</f>
        <v>0</v>
      </c>
      <c r="M7" s="17">
        <f t="shared" si="0"/>
        <v>436.64448788280049</v>
      </c>
      <c r="N7" s="17">
        <f t="shared" si="0"/>
        <v>0</v>
      </c>
      <c r="O7" s="17">
        <f t="shared" si="0"/>
        <v>526.2387960569182</v>
      </c>
      <c r="P7" s="17">
        <f t="shared" si="0"/>
        <v>821.7223994787397</v>
      </c>
      <c r="Q7" s="17">
        <f t="shared" si="0"/>
        <v>0</v>
      </c>
    </row>
    <row r="8" spans="1:18">
      <c r="A8" t="s">
        <v>2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3">
        <v>18713</v>
      </c>
      <c r="I8" s="16">
        <f>H8/$H$11</f>
        <v>0.19666015091325639</v>
      </c>
      <c r="J8" s="16"/>
      <c r="K8" t="s">
        <v>2</v>
      </c>
      <c r="L8" s="17">
        <f>B$11*$I8</f>
        <v>0</v>
      </c>
      <c r="M8" s="17">
        <f t="shared" si="0"/>
        <v>409.98134981188383</v>
      </c>
      <c r="N8" s="17">
        <f t="shared" si="0"/>
        <v>0</v>
      </c>
      <c r="O8" s="17">
        <f t="shared" si="0"/>
        <v>494.10469596653843</v>
      </c>
      <c r="P8" s="17">
        <f t="shared" si="0"/>
        <v>771.54497046892402</v>
      </c>
      <c r="Q8" s="17">
        <f t="shared" si="0"/>
        <v>0</v>
      </c>
    </row>
    <row r="9" spans="1:18">
      <c r="A9" t="s">
        <v>3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3">
        <v>25929</v>
      </c>
      <c r="I9" s="16">
        <f>H9/$H$11</f>
        <v>0.27249511318494229</v>
      </c>
      <c r="J9" s="16"/>
      <c r="K9" t="s">
        <v>3</v>
      </c>
      <c r="L9" s="17">
        <f>B$11*$I9</f>
        <v>0</v>
      </c>
      <c r="M9" s="17">
        <f t="shared" si="0"/>
        <v>568.07601235891286</v>
      </c>
      <c r="N9" s="17">
        <f t="shared" si="0"/>
        <v>0</v>
      </c>
      <c r="O9" s="17">
        <f t="shared" si="0"/>
        <v>684.63852197490382</v>
      </c>
      <c r="P9" s="17">
        <f t="shared" si="0"/>
        <v>1069.0637278516929</v>
      </c>
      <c r="Q9" s="17">
        <f t="shared" si="0"/>
        <v>0</v>
      </c>
    </row>
    <row r="10" spans="1:18">
      <c r="A10" t="s">
        <v>4</v>
      </c>
      <c r="B10" s="1">
        <v>0</v>
      </c>
      <c r="C10" s="1">
        <v>2084.7199999999998</v>
      </c>
      <c r="D10" s="1">
        <v>0</v>
      </c>
      <c r="E10" s="1">
        <v>2512.48</v>
      </c>
      <c r="F10" s="1">
        <v>3923.24</v>
      </c>
      <c r="G10" s="1">
        <v>0</v>
      </c>
      <c r="H10" s="13">
        <v>12790</v>
      </c>
      <c r="I10" s="16">
        <f>H10/$H$11</f>
        <v>0.13441368728587344</v>
      </c>
      <c r="J10" s="16"/>
      <c r="K10" t="s">
        <v>4</v>
      </c>
      <c r="L10" s="17">
        <f>B$11*$I10</f>
        <v>0</v>
      </c>
      <c r="M10" s="17">
        <f t="shared" si="0"/>
        <v>280.21490215860604</v>
      </c>
      <c r="N10" s="17">
        <f t="shared" si="0"/>
        <v>0</v>
      </c>
      <c r="O10" s="17">
        <f t="shared" si="0"/>
        <v>337.71170103201132</v>
      </c>
      <c r="P10" s="17">
        <f t="shared" si="0"/>
        <v>527.33715450743011</v>
      </c>
      <c r="Q10" s="17">
        <f t="shared" si="0"/>
        <v>0</v>
      </c>
    </row>
    <row r="11" spans="1:18">
      <c r="A11" t="s">
        <v>21</v>
      </c>
      <c r="B11" s="15">
        <f>SUM(B6:B10)</f>
        <v>0</v>
      </c>
      <c r="C11" s="15">
        <f t="shared" ref="C11:H11" si="1">SUM(C6:C10)</f>
        <v>2084.7199999999998</v>
      </c>
      <c r="D11" s="15">
        <f t="shared" si="1"/>
        <v>0</v>
      </c>
      <c r="E11" s="15">
        <f t="shared" si="1"/>
        <v>2512.48</v>
      </c>
      <c r="F11" s="15">
        <f t="shared" si="1"/>
        <v>3923.24</v>
      </c>
      <c r="G11" s="15">
        <f t="shared" si="1"/>
        <v>0</v>
      </c>
      <c r="H11" s="15">
        <f t="shared" si="1"/>
        <v>95154</v>
      </c>
      <c r="K11" t="s">
        <v>21</v>
      </c>
      <c r="L11" s="15">
        <f t="shared" ref="L11:Q11" si="2">SUM(L6:L10)</f>
        <v>0</v>
      </c>
      <c r="M11" s="15">
        <f t="shared" si="2"/>
        <v>2084.7199999999998</v>
      </c>
      <c r="N11" s="15">
        <f t="shared" si="2"/>
        <v>0</v>
      </c>
      <c r="O11" s="15">
        <f t="shared" si="2"/>
        <v>2512.48</v>
      </c>
      <c r="P11" s="15">
        <f t="shared" si="2"/>
        <v>3923.24</v>
      </c>
      <c r="Q11" s="15">
        <f t="shared" si="2"/>
        <v>0</v>
      </c>
      <c r="R11" s="15"/>
    </row>
    <row r="12" spans="1:18">
      <c r="B12" s="1"/>
      <c r="C12" s="1"/>
      <c r="D12" s="1"/>
      <c r="E12" s="1"/>
      <c r="F12" s="1"/>
      <c r="G12" s="1"/>
    </row>
    <row r="13" spans="1:18">
      <c r="B13" s="1"/>
      <c r="C13" s="1"/>
      <c r="D13" s="1"/>
      <c r="E13" s="1"/>
      <c r="F13" s="1"/>
      <c r="G13" s="1"/>
    </row>
    <row r="14" spans="1:18">
      <c r="A14" t="s">
        <v>16</v>
      </c>
      <c r="B14" s="1"/>
      <c r="C14" s="1"/>
      <c r="D14" s="1"/>
      <c r="E14" s="1"/>
      <c r="F14" s="1"/>
      <c r="G14" s="1"/>
      <c r="K14" t="s">
        <v>22</v>
      </c>
    </row>
    <row r="15" spans="1:18">
      <c r="B15" s="1">
        <v>2015</v>
      </c>
      <c r="C15" s="1">
        <v>2020</v>
      </c>
      <c r="D15" s="1">
        <v>2025</v>
      </c>
      <c r="E15" s="1">
        <v>2030</v>
      </c>
      <c r="F15" s="1">
        <v>2035</v>
      </c>
      <c r="G15" s="1">
        <v>2040</v>
      </c>
      <c r="L15" s="1">
        <v>2015</v>
      </c>
      <c r="M15" s="1">
        <v>2020</v>
      </c>
      <c r="N15" s="1">
        <v>2025</v>
      </c>
      <c r="O15" s="1">
        <v>2030</v>
      </c>
      <c r="P15" s="1">
        <v>2035</v>
      </c>
      <c r="Q15" s="1">
        <v>2040</v>
      </c>
    </row>
    <row r="16" spans="1:18">
      <c r="A16" t="s">
        <v>0</v>
      </c>
      <c r="B16" s="1">
        <f>SUM($B6:B6)</f>
        <v>0</v>
      </c>
      <c r="C16" s="1">
        <f>SUM($B6:C6)</f>
        <v>0</v>
      </c>
      <c r="D16" s="1">
        <f>SUM($B6:D6)</f>
        <v>0</v>
      </c>
      <c r="E16" s="1">
        <f>SUM($B6:E6)</f>
        <v>0</v>
      </c>
      <c r="F16" s="1">
        <f>SUM($B6:F6)</f>
        <v>0</v>
      </c>
      <c r="G16" s="1">
        <f>SUM($B6:G6)</f>
        <v>0</v>
      </c>
      <c r="K16" t="s">
        <v>0</v>
      </c>
      <c r="L16" s="1">
        <f>SUM($L6:L6)</f>
        <v>0</v>
      </c>
      <c r="M16" s="1">
        <f>SUM($L6:M6)</f>
        <v>389.80324778779664</v>
      </c>
      <c r="N16" s="1">
        <f>SUM($L6:N6)</f>
        <v>389.80324778779664</v>
      </c>
      <c r="O16" s="1">
        <f>SUM($L6:O6)</f>
        <v>859.58953275742488</v>
      </c>
      <c r="P16" s="1">
        <f>SUM($L6:P6)</f>
        <v>1593.1612804506381</v>
      </c>
      <c r="Q16" s="1">
        <f>SUM($L6:Q6)</f>
        <v>1593.1612804506381</v>
      </c>
    </row>
    <row r="17" spans="1:18">
      <c r="A17" t="s">
        <v>1</v>
      </c>
      <c r="B17" s="1">
        <f>SUM($B7:B7)</f>
        <v>0</v>
      </c>
      <c r="C17" s="1">
        <f>SUM($B7:C7)</f>
        <v>0</v>
      </c>
      <c r="D17" s="1">
        <f>SUM($B7:D7)</f>
        <v>0</v>
      </c>
      <c r="E17" s="1">
        <f>SUM($B7:E7)</f>
        <v>0</v>
      </c>
      <c r="F17" s="1">
        <f>SUM($B7:F7)</f>
        <v>0</v>
      </c>
      <c r="G17" s="1">
        <f>SUM($B7:G7)</f>
        <v>0</v>
      </c>
      <c r="K17" t="s">
        <v>1</v>
      </c>
      <c r="L17" s="1">
        <f>SUM($L7:L7)</f>
        <v>0</v>
      </c>
      <c r="M17" s="1">
        <f>SUM($L7:M7)</f>
        <v>436.64448788280049</v>
      </c>
      <c r="N17" s="1">
        <f>SUM($L7:N7)</f>
        <v>436.64448788280049</v>
      </c>
      <c r="O17" s="1">
        <f>SUM($L7:O7)</f>
        <v>962.88328393971869</v>
      </c>
      <c r="P17" s="1">
        <f>SUM($L7:P7)</f>
        <v>1784.6056834184583</v>
      </c>
      <c r="Q17" s="1">
        <f>SUM($L7:Q7)</f>
        <v>1784.6056834184583</v>
      </c>
    </row>
    <row r="18" spans="1:18">
      <c r="A18" t="s">
        <v>2</v>
      </c>
      <c r="B18" s="1">
        <f>SUM($B8:B8)</f>
        <v>0</v>
      </c>
      <c r="C18" s="1">
        <f>SUM($B8:C8)</f>
        <v>0</v>
      </c>
      <c r="D18" s="1">
        <f>SUM($B8:D8)</f>
        <v>0</v>
      </c>
      <c r="E18" s="1">
        <f>SUM($B8:E8)</f>
        <v>0</v>
      </c>
      <c r="F18" s="1">
        <f>SUM($B8:F8)</f>
        <v>0</v>
      </c>
      <c r="G18" s="1">
        <f>SUM($B8:G8)</f>
        <v>0</v>
      </c>
      <c r="K18" t="s">
        <v>2</v>
      </c>
      <c r="L18" s="1">
        <f>SUM($L8:L8)</f>
        <v>0</v>
      </c>
      <c r="M18" s="1">
        <f>SUM($L8:M8)</f>
        <v>409.98134981188383</v>
      </c>
      <c r="N18" s="1">
        <f>SUM($L8:N8)</f>
        <v>409.98134981188383</v>
      </c>
      <c r="O18" s="1">
        <f>SUM($L8:O8)</f>
        <v>904.0860457784222</v>
      </c>
      <c r="P18" s="1">
        <f>SUM($L8:P8)</f>
        <v>1675.6310162473462</v>
      </c>
      <c r="Q18" s="1">
        <f>SUM($L8:Q8)</f>
        <v>1675.6310162473462</v>
      </c>
    </row>
    <row r="19" spans="1:18">
      <c r="A19" t="s">
        <v>3</v>
      </c>
      <c r="B19" s="1">
        <f>SUM($B9:B9)</f>
        <v>0</v>
      </c>
      <c r="C19" s="1">
        <f>SUM($B9:C9)</f>
        <v>0</v>
      </c>
      <c r="D19" s="1">
        <f>SUM($B9:D9)</f>
        <v>0</v>
      </c>
      <c r="E19" s="1">
        <f>SUM($B9:E9)</f>
        <v>0</v>
      </c>
      <c r="F19" s="1">
        <f>SUM($B9:F9)</f>
        <v>0</v>
      </c>
      <c r="G19" s="1">
        <f>SUM($B9:G9)</f>
        <v>0</v>
      </c>
      <c r="K19" t="s">
        <v>3</v>
      </c>
      <c r="L19" s="1">
        <f>SUM($L9:L9)</f>
        <v>0</v>
      </c>
      <c r="M19" s="1">
        <f>SUM($L9:M9)</f>
        <v>568.07601235891286</v>
      </c>
      <c r="N19" s="1">
        <f>SUM($L9:N9)</f>
        <v>568.07601235891286</v>
      </c>
      <c r="O19" s="1">
        <f>SUM($L9:O9)</f>
        <v>1252.7145343338166</v>
      </c>
      <c r="P19" s="1">
        <f>SUM($L9:P9)</f>
        <v>2321.7782621855094</v>
      </c>
      <c r="Q19" s="1">
        <f>SUM($L9:Q9)</f>
        <v>2321.7782621855094</v>
      </c>
    </row>
    <row r="20" spans="1:18">
      <c r="A20" t="s">
        <v>4</v>
      </c>
      <c r="B20" s="1">
        <f>SUM($B10:B10)</f>
        <v>0</v>
      </c>
      <c r="C20" s="1">
        <f>SUM($B10:C10)</f>
        <v>2084.7199999999998</v>
      </c>
      <c r="D20" s="1">
        <f>SUM($B10:D10)</f>
        <v>2084.7199999999998</v>
      </c>
      <c r="E20" s="1">
        <f>SUM($B10:E10)</f>
        <v>4597.2</v>
      </c>
      <c r="F20" s="1">
        <f>SUM($B10:F10)</f>
        <v>8520.4399999999987</v>
      </c>
      <c r="G20" s="1">
        <f>SUM($B10:G10)</f>
        <v>8520.4399999999987</v>
      </c>
      <c r="K20" t="s">
        <v>4</v>
      </c>
      <c r="L20" s="1">
        <f>SUM($L10:L10)</f>
        <v>0</v>
      </c>
      <c r="M20" s="1">
        <f>SUM($L10:M10)</f>
        <v>280.21490215860604</v>
      </c>
      <c r="N20" s="1">
        <f>SUM($L10:N10)</f>
        <v>280.21490215860604</v>
      </c>
      <c r="O20" s="1">
        <f>SUM($L10:O10)</f>
        <v>617.92660319061736</v>
      </c>
      <c r="P20" s="1">
        <f>SUM($L10:P10)</f>
        <v>1145.2637576980474</v>
      </c>
      <c r="Q20" s="1">
        <f>SUM($L10:Q10)</f>
        <v>1145.2637576980474</v>
      </c>
    </row>
    <row r="21" spans="1:18">
      <c r="A21" t="s">
        <v>21</v>
      </c>
      <c r="B21" s="15">
        <f t="shared" ref="B21:G21" si="3">SUM(B16:B20)</f>
        <v>0</v>
      </c>
      <c r="C21" s="15">
        <f t="shared" si="3"/>
        <v>2084.7199999999998</v>
      </c>
      <c r="D21" s="15">
        <f t="shared" si="3"/>
        <v>2084.7199999999998</v>
      </c>
      <c r="E21" s="15">
        <f t="shared" si="3"/>
        <v>4597.2</v>
      </c>
      <c r="F21" s="15">
        <f t="shared" si="3"/>
        <v>8520.4399999999987</v>
      </c>
      <c r="G21" s="15">
        <f t="shared" si="3"/>
        <v>8520.4399999999987</v>
      </c>
      <c r="H21" s="15"/>
      <c r="K21" t="s">
        <v>21</v>
      </c>
      <c r="L21" s="15">
        <f t="shared" ref="L21:Q21" si="4">SUM(L16:L20)</f>
        <v>0</v>
      </c>
      <c r="M21" s="15">
        <f t="shared" si="4"/>
        <v>2084.7199999999998</v>
      </c>
      <c r="N21" s="15">
        <f t="shared" si="4"/>
        <v>2084.7199999999998</v>
      </c>
      <c r="O21" s="15">
        <f t="shared" si="4"/>
        <v>4597.2</v>
      </c>
      <c r="P21" s="15">
        <f t="shared" si="4"/>
        <v>8520.4399999999987</v>
      </c>
      <c r="Q21" s="15">
        <f t="shared" si="4"/>
        <v>8520.4399999999987</v>
      </c>
      <c r="R21" s="15"/>
    </row>
    <row r="22" spans="1:18">
      <c r="B22" s="1"/>
      <c r="C22" s="1"/>
      <c r="D22" s="1"/>
      <c r="E22" s="1"/>
      <c r="F22" s="1"/>
      <c r="G22" s="1"/>
    </row>
    <row r="23" spans="1:18">
      <c r="B23" s="1"/>
      <c r="C23" s="1"/>
      <c r="D23" s="1"/>
      <c r="E23" s="1"/>
      <c r="F23" s="1"/>
      <c r="G23" s="1"/>
    </row>
    <row r="24" spans="1:18" ht="20.25" thickBot="1">
      <c r="A24" s="21" t="s">
        <v>18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</row>
    <row r="25" spans="1:18" ht="16.5" thickTop="1">
      <c r="A25" t="s">
        <v>6</v>
      </c>
      <c r="K25" t="s">
        <v>27</v>
      </c>
    </row>
    <row r="26" spans="1:18">
      <c r="A26" t="s">
        <v>5</v>
      </c>
      <c r="B26" s="1" t="s">
        <v>15</v>
      </c>
      <c r="C26" s="1"/>
      <c r="D26" s="1"/>
      <c r="E26" s="1"/>
      <c r="F26" s="1"/>
      <c r="G26" s="1"/>
      <c r="K26" t="s">
        <v>26</v>
      </c>
    </row>
    <row r="27" spans="1:18">
      <c r="B27" s="1">
        <v>2015</v>
      </c>
      <c r="C27" s="1">
        <v>2020</v>
      </c>
      <c r="D27" s="1">
        <v>2025</v>
      </c>
      <c r="E27" s="1">
        <v>2030</v>
      </c>
      <c r="F27" s="1">
        <v>2035</v>
      </c>
      <c r="G27" s="1">
        <v>2040</v>
      </c>
      <c r="L27">
        <v>2015</v>
      </c>
      <c r="M27">
        <v>2020</v>
      </c>
      <c r="N27">
        <v>2025</v>
      </c>
      <c r="O27">
        <v>2030</v>
      </c>
      <c r="P27">
        <v>2035</v>
      </c>
      <c r="Q27">
        <v>2040</v>
      </c>
    </row>
    <row r="28" spans="1:18">
      <c r="A28" t="s">
        <v>0</v>
      </c>
      <c r="B28" s="1">
        <v>0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K28" t="s">
        <v>0</v>
      </c>
      <c r="L28" s="19">
        <f>L6+B$34*L38</f>
        <v>0</v>
      </c>
      <c r="M28" s="19">
        <f t="shared" ref="M28:Q32" si="5">M6+C$34*M38</f>
        <v>461.16253489172232</v>
      </c>
      <c r="N28" s="19">
        <f t="shared" si="5"/>
        <v>52.185971224582325</v>
      </c>
      <c r="O28" s="19">
        <f t="shared" si="5"/>
        <v>535.71913917469385</v>
      </c>
      <c r="P28" s="19">
        <f t="shared" si="5"/>
        <v>720.98183975512939</v>
      </c>
      <c r="Q28" s="19">
        <f t="shared" si="5"/>
        <v>0</v>
      </c>
    </row>
    <row r="29" spans="1:18">
      <c r="A29" t="s">
        <v>1</v>
      </c>
      <c r="B29" s="1">
        <v>0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K29" t="s">
        <v>1</v>
      </c>
      <c r="L29" s="19">
        <f>L7+B$34*L39</f>
        <v>0</v>
      </c>
      <c r="M29" s="19">
        <f t="shared" si="5"/>
        <v>724.88265504463868</v>
      </c>
      <c r="N29" s="19">
        <f t="shared" si="5"/>
        <v>240.50026768688073</v>
      </c>
      <c r="O29" s="19">
        <f t="shared" si="5"/>
        <v>847.84816736104437</v>
      </c>
      <c r="P29" s="19">
        <f t="shared" si="5"/>
        <v>756.74906150294703</v>
      </c>
      <c r="Q29" s="19">
        <f t="shared" si="5"/>
        <v>0</v>
      </c>
    </row>
    <row r="30" spans="1:18">
      <c r="A30" t="s">
        <v>2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K30" t="s">
        <v>2</v>
      </c>
      <c r="L30" s="19">
        <f>L8+B$34*L40</f>
        <v>0</v>
      </c>
      <c r="M30" s="19">
        <f t="shared" si="5"/>
        <v>500.41424075854104</v>
      </c>
      <c r="N30" s="19">
        <f t="shared" si="5"/>
        <v>66.134744841620204</v>
      </c>
      <c r="O30" s="19">
        <f t="shared" si="5"/>
        <v>577.66072428622908</v>
      </c>
      <c r="P30" s="19">
        <f t="shared" si="5"/>
        <v>755.58990956795071</v>
      </c>
      <c r="Q30" s="19">
        <f t="shared" si="5"/>
        <v>0</v>
      </c>
    </row>
    <row r="31" spans="1:18">
      <c r="A31" t="s">
        <v>3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K31" t="s">
        <v>3</v>
      </c>
      <c r="L31" s="19">
        <f>L9+B$34*L41</f>
        <v>0</v>
      </c>
      <c r="M31" s="19">
        <f t="shared" si="5"/>
        <v>1682.9481642433298</v>
      </c>
      <c r="N31" s="19">
        <f t="shared" si="5"/>
        <v>1290.5541911903483</v>
      </c>
      <c r="O31" s="19">
        <f t="shared" si="5"/>
        <v>3549.4801918953208</v>
      </c>
      <c r="P31" s="19">
        <f t="shared" si="5"/>
        <v>522.02093232361949</v>
      </c>
      <c r="Q31" s="19">
        <f t="shared" si="5"/>
        <v>0</v>
      </c>
    </row>
    <row r="32" spans="1:18">
      <c r="A32" t="s">
        <v>4</v>
      </c>
      <c r="B32" s="1">
        <v>0</v>
      </c>
      <c r="C32" s="1">
        <v>3853.55</v>
      </c>
      <c r="D32" s="1">
        <v>1798.51</v>
      </c>
      <c r="E32" s="1">
        <v>6036.84</v>
      </c>
      <c r="F32" s="1">
        <v>3246.7</v>
      </c>
      <c r="G32" s="1">
        <v>0</v>
      </c>
      <c r="K32" t="s">
        <v>4</v>
      </c>
      <c r="L32" s="19">
        <f>L10+B$34*L42</f>
        <v>0</v>
      </c>
      <c r="M32" s="19">
        <f t="shared" si="5"/>
        <v>484.14240506176867</v>
      </c>
      <c r="N32" s="19">
        <f t="shared" si="5"/>
        <v>149.13482505656808</v>
      </c>
      <c r="O32" s="19">
        <f t="shared" si="5"/>
        <v>526.13177728271205</v>
      </c>
      <c r="P32" s="19">
        <f t="shared" si="5"/>
        <v>491.3582568503532</v>
      </c>
      <c r="Q32" s="19">
        <f t="shared" si="5"/>
        <v>0</v>
      </c>
    </row>
    <row r="33" spans="1:18">
      <c r="A33" t="s">
        <v>21</v>
      </c>
      <c r="B33" s="15">
        <f t="shared" ref="B33:G33" si="6">SUM(B28:B32)</f>
        <v>0</v>
      </c>
      <c r="C33" s="15">
        <f t="shared" si="6"/>
        <v>3853.55</v>
      </c>
      <c r="D33" s="15">
        <f t="shared" si="6"/>
        <v>1798.51</v>
      </c>
      <c r="E33" s="15">
        <f t="shared" si="6"/>
        <v>6036.84</v>
      </c>
      <c r="F33" s="15">
        <f t="shared" si="6"/>
        <v>3246.7</v>
      </c>
      <c r="G33" s="15">
        <f t="shared" si="6"/>
        <v>0</v>
      </c>
      <c r="H33" s="15"/>
      <c r="K33" t="s">
        <v>21</v>
      </c>
      <c r="L33" s="15">
        <f t="shared" ref="L33:Q33" si="7">SUM(L28:L32)</f>
        <v>0</v>
      </c>
      <c r="M33" s="15">
        <f t="shared" si="7"/>
        <v>3853.5500000000006</v>
      </c>
      <c r="N33" s="15">
        <f t="shared" si="7"/>
        <v>1798.5099999999998</v>
      </c>
      <c r="O33" s="15">
        <f t="shared" si="7"/>
        <v>6036.8400000000011</v>
      </c>
      <c r="P33" s="15">
        <f t="shared" si="7"/>
        <v>3246.7</v>
      </c>
      <c r="Q33" s="15">
        <f t="shared" si="7"/>
        <v>0</v>
      </c>
      <c r="R33" s="15"/>
    </row>
    <row r="34" spans="1:18">
      <c r="A34" s="23" t="s">
        <v>24</v>
      </c>
      <c r="B34" s="24">
        <f t="shared" ref="B34:G34" si="8">B33-B11</f>
        <v>0</v>
      </c>
      <c r="C34" s="24">
        <f t="shared" si="8"/>
        <v>1768.8300000000004</v>
      </c>
      <c r="D34" s="24">
        <f t="shared" si="8"/>
        <v>1798.51</v>
      </c>
      <c r="E34" s="24">
        <f t="shared" si="8"/>
        <v>3524.36</v>
      </c>
      <c r="F34" s="24">
        <f t="shared" si="8"/>
        <v>-676.54</v>
      </c>
      <c r="G34" s="25">
        <f t="shared" si="8"/>
        <v>0</v>
      </c>
    </row>
    <row r="35" spans="1:18">
      <c r="B35" s="1"/>
      <c r="C35" s="1"/>
      <c r="D35" s="1"/>
      <c r="E35" s="1"/>
      <c r="F35" s="1"/>
      <c r="G35" s="1"/>
    </row>
    <row r="36" spans="1:18">
      <c r="A36" s="22" t="s">
        <v>25</v>
      </c>
      <c r="B36" s="1"/>
      <c r="C36" s="1"/>
      <c r="D36" s="1"/>
      <c r="E36" s="1"/>
      <c r="F36" s="1"/>
      <c r="G36" s="1"/>
      <c r="K36" t="s">
        <v>28</v>
      </c>
    </row>
    <row r="37" spans="1:18">
      <c r="B37" s="1">
        <v>2015</v>
      </c>
      <c r="C37" s="1">
        <v>2020</v>
      </c>
      <c r="D37" s="1">
        <v>2025</v>
      </c>
      <c r="E37" s="1">
        <v>2030</v>
      </c>
      <c r="F37" s="1">
        <v>2035</v>
      </c>
      <c r="G37" s="1">
        <v>2040</v>
      </c>
      <c r="L37">
        <v>2015</v>
      </c>
      <c r="M37">
        <v>2020</v>
      </c>
      <c r="N37">
        <v>2025</v>
      </c>
      <c r="O37">
        <v>2030</v>
      </c>
      <c r="P37">
        <v>2035</v>
      </c>
      <c r="Q37">
        <v>2040</v>
      </c>
    </row>
    <row r="38" spans="1:18">
      <c r="A38" t="s">
        <v>0</v>
      </c>
      <c r="B38" s="1">
        <v>535</v>
      </c>
      <c r="C38" s="1">
        <v>535</v>
      </c>
      <c r="D38" s="1">
        <v>535</v>
      </c>
      <c r="E38" s="1">
        <v>535</v>
      </c>
      <c r="F38" s="1">
        <v>535</v>
      </c>
      <c r="G38" s="1">
        <v>535</v>
      </c>
      <c r="K38" t="s">
        <v>0</v>
      </c>
      <c r="L38" s="16">
        <f>B38/B$43</f>
        <v>4.03426485891384E-2</v>
      </c>
      <c r="M38" s="16">
        <f t="shared" ref="M38:Q42" si="9">C38/C$43</f>
        <v>4.03426485891384E-2</v>
      </c>
      <c r="N38" s="16">
        <f t="shared" si="9"/>
        <v>2.9016225222313095E-2</v>
      </c>
      <c r="O38" s="16">
        <f t="shared" si="9"/>
        <v>1.8707752387686172E-2</v>
      </c>
      <c r="P38" s="16">
        <f t="shared" si="9"/>
        <v>1.8609258784526697E-2</v>
      </c>
      <c r="Q38" s="16">
        <f t="shared" si="9"/>
        <v>1.8414494788870073E-2</v>
      </c>
    </row>
    <row r="39" spans="1:18">
      <c r="A39" t="s">
        <v>1</v>
      </c>
      <c r="B39" s="1">
        <v>2161</v>
      </c>
      <c r="C39" s="1">
        <v>2161</v>
      </c>
      <c r="D39" s="1">
        <v>2465.56</v>
      </c>
      <c r="E39" s="1">
        <v>2609.64</v>
      </c>
      <c r="F39" s="1">
        <v>2761</v>
      </c>
      <c r="G39" s="1">
        <v>2925.51</v>
      </c>
      <c r="K39" t="s">
        <v>1</v>
      </c>
      <c r="L39" s="16">
        <f>B39/B$43</f>
        <v>0.16295413757220203</v>
      </c>
      <c r="M39" s="16">
        <f t="shared" si="9"/>
        <v>0.16295413757220203</v>
      </c>
      <c r="N39" s="16">
        <f t="shared" si="9"/>
        <v>0.13372195188621733</v>
      </c>
      <c r="O39" s="16">
        <f t="shared" si="9"/>
        <v>9.1253269048600635E-2</v>
      </c>
      <c r="P39" s="16">
        <f t="shared" si="9"/>
        <v>9.6037688792669551E-2</v>
      </c>
      <c r="Q39" s="16">
        <f t="shared" si="9"/>
        <v>0.10069493205567717</v>
      </c>
    </row>
    <row r="40" spans="1:18">
      <c r="A40" t="s">
        <v>2</v>
      </c>
      <c r="B40" s="1">
        <v>678</v>
      </c>
      <c r="C40" s="1">
        <v>678</v>
      </c>
      <c r="D40" s="1">
        <v>678</v>
      </c>
      <c r="E40" s="1">
        <v>678</v>
      </c>
      <c r="F40" s="1">
        <v>678</v>
      </c>
      <c r="G40" s="1">
        <v>817.56</v>
      </c>
      <c r="K40" t="s">
        <v>2</v>
      </c>
      <c r="L40" s="16">
        <f>B40/B$43</f>
        <v>5.1125823819506235E-2</v>
      </c>
      <c r="M40" s="16">
        <f t="shared" si="9"/>
        <v>5.1125823819506235E-2</v>
      </c>
      <c r="N40" s="16">
        <f t="shared" si="9"/>
        <v>3.677196392659491E-2</v>
      </c>
      <c r="O40" s="16">
        <f t="shared" si="9"/>
        <v>2.3708142278226589E-2</v>
      </c>
      <c r="P40" s="16">
        <f t="shared" si="9"/>
        <v>2.3583322347493645E-2</v>
      </c>
      <c r="Q40" s="16">
        <f t="shared" si="9"/>
        <v>2.8140101606707692E-2</v>
      </c>
    </row>
    <row r="41" spans="1:18">
      <c r="A41" t="s">
        <v>3</v>
      </c>
      <c r="B41" s="1">
        <v>8358.5</v>
      </c>
      <c r="C41" s="1">
        <v>8358.5</v>
      </c>
      <c r="D41" s="1">
        <v>13230.5</v>
      </c>
      <c r="E41" s="1">
        <v>23246.23</v>
      </c>
      <c r="F41" s="1">
        <v>23246.23</v>
      </c>
      <c r="G41" s="1">
        <v>23246.23</v>
      </c>
      <c r="K41" t="s">
        <v>3</v>
      </c>
      <c r="L41" s="16">
        <f>B41/B$43</f>
        <v>0.63028790323796891</v>
      </c>
      <c r="M41" s="16">
        <f t="shared" si="9"/>
        <v>0.63028790323796891</v>
      </c>
      <c r="N41" s="16">
        <f t="shared" si="9"/>
        <v>0.71756853795105302</v>
      </c>
      <c r="O41" s="16">
        <f t="shared" si="9"/>
        <v>0.81286862577047092</v>
      </c>
      <c r="P41" s="16">
        <f t="shared" si="9"/>
        <v>0.80858899034509912</v>
      </c>
      <c r="Q41" s="16">
        <f t="shared" si="9"/>
        <v>0.80012631999229</v>
      </c>
    </row>
    <row r="42" spans="1:18">
      <c r="A42" t="s">
        <v>4</v>
      </c>
      <c r="B42" s="1">
        <v>1528.9</v>
      </c>
      <c r="C42" s="1">
        <v>1528.9</v>
      </c>
      <c r="D42" s="1">
        <v>1528.9</v>
      </c>
      <c r="E42" s="1">
        <v>1528.9</v>
      </c>
      <c r="F42" s="1">
        <v>1528.9</v>
      </c>
      <c r="G42" s="1">
        <v>1528.9</v>
      </c>
      <c r="K42" t="s">
        <v>4</v>
      </c>
      <c r="L42" s="16">
        <f>B42/B$43</f>
        <v>0.1152894867811845</v>
      </c>
      <c r="M42" s="16">
        <f t="shared" si="9"/>
        <v>0.1152894867811845</v>
      </c>
      <c r="N42" s="16">
        <f t="shared" si="9"/>
        <v>8.2921321013821478E-2</v>
      </c>
      <c r="O42" s="16">
        <f t="shared" si="9"/>
        <v>5.3462210515015686E-2</v>
      </c>
      <c r="P42" s="16">
        <f t="shared" si="9"/>
        <v>5.3180739730210966E-2</v>
      </c>
      <c r="Q42" s="16">
        <f t="shared" si="9"/>
        <v>5.2624151556455057E-2</v>
      </c>
    </row>
    <row r="43" spans="1:18">
      <c r="A43" t="s">
        <v>21</v>
      </c>
      <c r="B43" s="15">
        <f t="shared" ref="B43:G43" si="10">SUM(B38:B42)</f>
        <v>13261.4</v>
      </c>
      <c r="C43" s="15">
        <f t="shared" si="10"/>
        <v>13261.4</v>
      </c>
      <c r="D43" s="15">
        <f t="shared" si="10"/>
        <v>18437.960000000003</v>
      </c>
      <c r="E43" s="15">
        <f t="shared" si="10"/>
        <v>28597.77</v>
      </c>
      <c r="F43" s="15">
        <f t="shared" si="10"/>
        <v>28749.13</v>
      </c>
      <c r="G43" s="15">
        <f t="shared" si="10"/>
        <v>29053.200000000001</v>
      </c>
      <c r="H43" s="15"/>
      <c r="K43" t="s">
        <v>21</v>
      </c>
      <c r="L43" s="18">
        <f t="shared" ref="L43:Q43" si="11">SUM(L38:L42)</f>
        <v>1</v>
      </c>
      <c r="M43" s="18">
        <f t="shared" si="11"/>
        <v>1</v>
      </c>
      <c r="N43" s="18">
        <f t="shared" si="11"/>
        <v>0.99999999999999978</v>
      </c>
      <c r="O43" s="18">
        <f t="shared" si="11"/>
        <v>1</v>
      </c>
      <c r="P43" s="18">
        <f t="shared" si="11"/>
        <v>1</v>
      </c>
      <c r="Q43" s="18">
        <f t="shared" si="11"/>
        <v>1</v>
      </c>
      <c r="R43" s="15"/>
    </row>
    <row r="44" spans="1:18">
      <c r="B44" s="1"/>
      <c r="C44" s="1"/>
      <c r="D44" s="1"/>
      <c r="E44" s="1"/>
      <c r="F44" s="1"/>
      <c r="G44" s="1"/>
    </row>
    <row r="45" spans="1:18">
      <c r="A45" t="s">
        <v>16</v>
      </c>
      <c r="B45" s="1"/>
      <c r="C45" s="1"/>
      <c r="D45" s="1"/>
      <c r="E45" s="1"/>
      <c r="F45" s="1"/>
      <c r="G45" s="1"/>
      <c r="K45" t="s">
        <v>22</v>
      </c>
    </row>
    <row r="46" spans="1:18">
      <c r="B46" s="1">
        <v>2015</v>
      </c>
      <c r="C46" s="1">
        <v>2020</v>
      </c>
      <c r="D46" s="1">
        <v>2025</v>
      </c>
      <c r="E46" s="1">
        <v>2030</v>
      </c>
      <c r="F46" s="1">
        <v>2035</v>
      </c>
      <c r="G46" s="1">
        <v>2040</v>
      </c>
      <c r="L46" s="1">
        <v>2015</v>
      </c>
      <c r="M46" s="1">
        <v>2020</v>
      </c>
      <c r="N46" s="1">
        <v>2025</v>
      </c>
      <c r="O46" s="1">
        <v>2030</v>
      </c>
      <c r="P46" s="1">
        <v>2035</v>
      </c>
      <c r="Q46" s="1">
        <v>2040</v>
      </c>
    </row>
    <row r="47" spans="1:18">
      <c r="A47" t="s">
        <v>0</v>
      </c>
      <c r="B47" s="1">
        <f>SUM($B28:B28)</f>
        <v>0</v>
      </c>
      <c r="C47" s="1">
        <f>SUM($B28:C28)</f>
        <v>0</v>
      </c>
      <c r="D47" s="1">
        <f>SUM($B28:D28)</f>
        <v>0</v>
      </c>
      <c r="E47" s="1">
        <f>SUM($B28:E28)</f>
        <v>0</v>
      </c>
      <c r="F47" s="1">
        <f>SUM($B28:F28)</f>
        <v>0</v>
      </c>
      <c r="G47" s="1">
        <f>SUM($B28:G28)</f>
        <v>0</v>
      </c>
      <c r="K47" t="s">
        <v>0</v>
      </c>
      <c r="L47" s="17">
        <f>SUM($L28:L28)</f>
        <v>0</v>
      </c>
      <c r="M47" s="17">
        <f>SUM($L28:M28)</f>
        <v>461.16253489172232</v>
      </c>
      <c r="N47" s="17">
        <f>SUM($L28:N28)</f>
        <v>513.34850611630463</v>
      </c>
      <c r="O47" s="17">
        <f>SUM($L28:O28)</f>
        <v>1049.0676452909984</v>
      </c>
      <c r="P47" s="17">
        <f>SUM($L28:P28)</f>
        <v>1770.0494850461278</v>
      </c>
      <c r="Q47" s="17">
        <f>SUM($L28:Q28)</f>
        <v>1770.0494850461278</v>
      </c>
    </row>
    <row r="48" spans="1:18">
      <c r="A48" t="s">
        <v>1</v>
      </c>
      <c r="B48" s="1">
        <f>SUM($B29:B29)</f>
        <v>0</v>
      </c>
      <c r="C48" s="1">
        <f>SUM($B29:C29)</f>
        <v>0</v>
      </c>
      <c r="D48" s="1">
        <f>SUM($B29:D29)</f>
        <v>0</v>
      </c>
      <c r="E48" s="1">
        <f>SUM($B29:E29)</f>
        <v>0</v>
      </c>
      <c r="F48" s="1">
        <f>SUM($B29:F29)</f>
        <v>0</v>
      </c>
      <c r="G48" s="1">
        <f>SUM($B29:G29)</f>
        <v>0</v>
      </c>
      <c r="K48" t="s">
        <v>1</v>
      </c>
      <c r="L48" s="17">
        <f>SUM($L29:L29)</f>
        <v>0</v>
      </c>
      <c r="M48" s="17">
        <f>SUM($L29:M29)</f>
        <v>724.88265504463868</v>
      </c>
      <c r="N48" s="17">
        <f>SUM($L29:N29)</f>
        <v>965.38292273151944</v>
      </c>
      <c r="O48" s="17">
        <f>SUM($L29:O29)</f>
        <v>1813.2310900925638</v>
      </c>
      <c r="P48" s="17">
        <f>SUM($L29:P29)</f>
        <v>2569.980151595511</v>
      </c>
      <c r="Q48" s="17">
        <f>SUM($L29:Q29)</f>
        <v>2569.980151595511</v>
      </c>
    </row>
    <row r="49" spans="1:18">
      <c r="A49" t="s">
        <v>2</v>
      </c>
      <c r="B49" s="1">
        <f>SUM($B30:B30)</f>
        <v>0</v>
      </c>
      <c r="C49" s="1">
        <f>SUM($B30:C30)</f>
        <v>0</v>
      </c>
      <c r="D49" s="1">
        <f>SUM($B30:D30)</f>
        <v>0</v>
      </c>
      <c r="E49" s="1">
        <f>SUM($B30:E30)</f>
        <v>0</v>
      </c>
      <c r="F49" s="1">
        <f>SUM($B30:F30)</f>
        <v>0</v>
      </c>
      <c r="G49" s="1">
        <f>SUM($B30:G30)</f>
        <v>0</v>
      </c>
      <c r="K49" t="s">
        <v>2</v>
      </c>
      <c r="L49" s="17">
        <f>SUM($L30:L30)</f>
        <v>0</v>
      </c>
      <c r="M49" s="17">
        <f>SUM($L30:M30)</f>
        <v>500.41424075854104</v>
      </c>
      <c r="N49" s="17">
        <f>SUM($L30:N30)</f>
        <v>566.54898560016125</v>
      </c>
      <c r="O49" s="17">
        <f>SUM($L30:O30)</f>
        <v>1144.2097098863903</v>
      </c>
      <c r="P49" s="17">
        <f>SUM($L30:P30)</f>
        <v>1899.7996194543412</v>
      </c>
      <c r="Q49" s="17">
        <f>SUM($L30:Q30)</f>
        <v>1899.7996194543412</v>
      </c>
    </row>
    <row r="50" spans="1:18">
      <c r="A50" t="s">
        <v>3</v>
      </c>
      <c r="B50" s="1">
        <f>SUM($B31:B31)</f>
        <v>0</v>
      </c>
      <c r="C50" s="1">
        <f>SUM($B31:C31)</f>
        <v>0</v>
      </c>
      <c r="D50" s="1">
        <f>SUM($B31:D31)</f>
        <v>0</v>
      </c>
      <c r="E50" s="1">
        <f>SUM($B31:E31)</f>
        <v>0</v>
      </c>
      <c r="F50" s="1">
        <f>SUM($B31:F31)</f>
        <v>0</v>
      </c>
      <c r="G50" s="1">
        <f>SUM($B31:G31)</f>
        <v>0</v>
      </c>
      <c r="K50" t="s">
        <v>3</v>
      </c>
      <c r="L50" s="17">
        <f>SUM($L31:L31)</f>
        <v>0</v>
      </c>
      <c r="M50" s="17">
        <f>SUM($L31:M31)</f>
        <v>1682.9481642433298</v>
      </c>
      <c r="N50" s="17">
        <f>SUM($L31:N31)</f>
        <v>2973.5023554336781</v>
      </c>
      <c r="O50" s="17">
        <f>SUM($L31:O31)</f>
        <v>6522.9825473289984</v>
      </c>
      <c r="P50" s="17">
        <f>SUM($L31:P31)</f>
        <v>7045.0034796526179</v>
      </c>
      <c r="Q50" s="17">
        <f>SUM($L31:Q31)</f>
        <v>7045.0034796526179</v>
      </c>
    </row>
    <row r="51" spans="1:18">
      <c r="A51" t="s">
        <v>4</v>
      </c>
      <c r="B51" s="1">
        <f>SUM($B32:B32)</f>
        <v>0</v>
      </c>
      <c r="C51" s="1">
        <f>SUM($B32:C32)</f>
        <v>3853.55</v>
      </c>
      <c r="D51" s="1">
        <f>SUM($B32:D32)</f>
        <v>5652.06</v>
      </c>
      <c r="E51" s="1">
        <f>SUM($B32:E32)</f>
        <v>11688.900000000001</v>
      </c>
      <c r="F51" s="1">
        <f>SUM($B32:F32)</f>
        <v>14935.600000000002</v>
      </c>
      <c r="G51" s="1">
        <f>SUM($B32:G32)</f>
        <v>14935.600000000002</v>
      </c>
      <c r="K51" t="s">
        <v>4</v>
      </c>
      <c r="L51" s="17">
        <f>SUM($L32:L32)</f>
        <v>0</v>
      </c>
      <c r="M51" s="17">
        <f>SUM($L32:M32)</f>
        <v>484.14240506176867</v>
      </c>
      <c r="N51" s="17">
        <f>SUM($L32:N32)</f>
        <v>633.27723011833677</v>
      </c>
      <c r="O51" s="17">
        <f>SUM($L32:O32)</f>
        <v>1159.4090074010487</v>
      </c>
      <c r="P51" s="17">
        <f>SUM($L32:P32)</f>
        <v>1650.7672642514019</v>
      </c>
      <c r="Q51" s="17">
        <f>SUM($L32:Q32)</f>
        <v>1650.7672642514019</v>
      </c>
    </row>
    <row r="52" spans="1:18">
      <c r="A52" t="s">
        <v>21</v>
      </c>
      <c r="B52" s="15">
        <f t="shared" ref="B52:G52" si="12">SUM(B47:B51)</f>
        <v>0</v>
      </c>
      <c r="C52" s="15">
        <f t="shared" si="12"/>
        <v>3853.55</v>
      </c>
      <c r="D52" s="15">
        <f t="shared" si="12"/>
        <v>5652.06</v>
      </c>
      <c r="E52" s="15">
        <f t="shared" si="12"/>
        <v>11688.900000000001</v>
      </c>
      <c r="F52" s="15">
        <f t="shared" si="12"/>
        <v>14935.600000000002</v>
      </c>
      <c r="G52" s="15">
        <f t="shared" si="12"/>
        <v>14935.600000000002</v>
      </c>
      <c r="H52" s="15"/>
      <c r="K52" t="s">
        <v>21</v>
      </c>
      <c r="L52" s="20">
        <f t="shared" ref="L52:Q52" si="13">SUM(L47:L51)</f>
        <v>0</v>
      </c>
      <c r="M52" s="20">
        <f t="shared" si="13"/>
        <v>3853.5500000000006</v>
      </c>
      <c r="N52" s="20">
        <f t="shared" si="13"/>
        <v>5652.06</v>
      </c>
      <c r="O52" s="20">
        <f t="shared" si="13"/>
        <v>11688.900000000001</v>
      </c>
      <c r="P52" s="20">
        <f t="shared" si="13"/>
        <v>14935.6</v>
      </c>
      <c r="Q52" s="20">
        <f t="shared" si="13"/>
        <v>14935.6</v>
      </c>
      <c r="R52" s="15"/>
    </row>
  </sheetData>
  <phoneticPr fontId="8" type="noConversion"/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87"/>
  <sheetViews>
    <sheetView zoomScale="75" workbookViewId="0">
      <selection activeCell="F65" sqref="F65"/>
    </sheetView>
  </sheetViews>
  <sheetFormatPr defaultColWidth="11" defaultRowHeight="15.75"/>
  <cols>
    <col min="1" max="1" width="12.875" customWidth="1"/>
    <col min="10" max="10" width="13" customWidth="1"/>
    <col min="11" max="11" width="13.625" customWidth="1"/>
  </cols>
  <sheetData>
    <row r="1" spans="1:17" ht="20.25" thickBot="1">
      <c r="A1" s="50" t="s">
        <v>68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6.5" thickTop="1">
      <c r="A2" s="1" t="s">
        <v>7</v>
      </c>
      <c r="B2" s="1"/>
      <c r="C2" s="1"/>
      <c r="D2" s="1"/>
      <c r="E2" s="1"/>
      <c r="F2" s="1"/>
      <c r="G2" s="1"/>
      <c r="K2" t="s">
        <v>32</v>
      </c>
    </row>
    <row r="3" spans="1:17">
      <c r="A3" t="s">
        <v>34</v>
      </c>
      <c r="C3" s="1"/>
      <c r="D3" s="1"/>
      <c r="E3" s="1"/>
      <c r="F3" s="1"/>
      <c r="G3" s="1"/>
      <c r="K3" t="s">
        <v>33</v>
      </c>
    </row>
    <row r="4" spans="1:17">
      <c r="B4" s="1">
        <v>2015</v>
      </c>
      <c r="C4" s="1">
        <v>2020</v>
      </c>
      <c r="D4" s="1">
        <v>2025</v>
      </c>
      <c r="E4" s="1">
        <v>2030</v>
      </c>
      <c r="F4" s="1">
        <v>2035</v>
      </c>
      <c r="G4" s="1">
        <v>2040</v>
      </c>
      <c r="J4" t="s">
        <v>35</v>
      </c>
      <c r="L4">
        <v>2015</v>
      </c>
      <c r="M4">
        <v>2020</v>
      </c>
      <c r="N4">
        <v>2025</v>
      </c>
      <c r="O4">
        <v>2030</v>
      </c>
      <c r="P4">
        <v>2035</v>
      </c>
      <c r="Q4">
        <v>2040</v>
      </c>
    </row>
    <row r="5" spans="1:17">
      <c r="A5" t="s">
        <v>0</v>
      </c>
      <c r="B5" s="1">
        <v>3821.26</v>
      </c>
      <c r="C5" s="1">
        <v>12840.61</v>
      </c>
      <c r="D5" s="1">
        <v>0</v>
      </c>
      <c r="E5" s="1">
        <v>0</v>
      </c>
      <c r="F5" s="1">
        <v>0</v>
      </c>
      <c r="G5" s="1">
        <v>0</v>
      </c>
      <c r="J5" t="s">
        <v>36</v>
      </c>
      <c r="K5" t="s">
        <v>0</v>
      </c>
      <c r="L5" s="19">
        <f t="shared" ref="L5:Q9" si="0">$J$6*B$10*L14</f>
        <v>2097.9775662582215</v>
      </c>
      <c r="M5" s="19">
        <f t="shared" si="0"/>
        <v>2065.5167731699271</v>
      </c>
      <c r="N5" s="19">
        <f t="shared" si="0"/>
        <v>0</v>
      </c>
      <c r="O5" s="19">
        <f t="shared" si="0"/>
        <v>0</v>
      </c>
      <c r="P5" s="19">
        <f t="shared" si="0"/>
        <v>0</v>
      </c>
      <c r="Q5" s="19">
        <f t="shared" si="0"/>
        <v>0</v>
      </c>
    </row>
    <row r="6" spans="1:17">
      <c r="A6" t="s">
        <v>1</v>
      </c>
      <c r="B6" s="1">
        <v>734.94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J6" s="28">
        <v>0.9</v>
      </c>
      <c r="K6" t="s">
        <v>1</v>
      </c>
      <c r="L6" s="19">
        <f t="shared" si="0"/>
        <v>2357.2363886219587</v>
      </c>
      <c r="M6" s="19">
        <f t="shared" si="0"/>
        <v>2814.9894573667211</v>
      </c>
      <c r="N6" s="19">
        <f t="shared" si="0"/>
        <v>0</v>
      </c>
      <c r="O6" s="19">
        <f t="shared" si="0"/>
        <v>0</v>
      </c>
      <c r="P6" s="19">
        <f t="shared" si="0"/>
        <v>0</v>
      </c>
      <c r="Q6" s="19">
        <f t="shared" si="0"/>
        <v>0</v>
      </c>
    </row>
    <row r="7" spans="1:17">
      <c r="A7" t="s">
        <v>2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K7" t="s">
        <v>2</v>
      </c>
      <c r="L7" s="19">
        <f t="shared" si="0"/>
        <v>1562.2082230398869</v>
      </c>
      <c r="M7" s="19">
        <f t="shared" si="0"/>
        <v>2969.0678740148419</v>
      </c>
      <c r="N7" s="19">
        <f t="shared" si="0"/>
        <v>0</v>
      </c>
      <c r="O7" s="19">
        <f t="shared" si="0"/>
        <v>0</v>
      </c>
      <c r="P7" s="19">
        <f t="shared" si="0"/>
        <v>0</v>
      </c>
      <c r="Q7" s="19">
        <f t="shared" si="0"/>
        <v>0</v>
      </c>
    </row>
    <row r="8" spans="1:17">
      <c r="A8" t="s">
        <v>3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K8" t="s">
        <v>3</v>
      </c>
      <c r="L8" s="19">
        <f t="shared" si="0"/>
        <v>1385.2147198159757</v>
      </c>
      <c r="M8" s="19">
        <f t="shared" si="0"/>
        <v>2126.2560657053623</v>
      </c>
      <c r="N8" s="19">
        <f t="shared" si="0"/>
        <v>0</v>
      </c>
      <c r="O8" s="19">
        <f t="shared" si="0"/>
        <v>0</v>
      </c>
      <c r="P8" s="19">
        <f t="shared" si="0"/>
        <v>0</v>
      </c>
      <c r="Q8" s="19">
        <f t="shared" si="0"/>
        <v>0</v>
      </c>
    </row>
    <row r="9" spans="1:17">
      <c r="A9" t="s">
        <v>4</v>
      </c>
      <c r="B9" s="1">
        <v>5400.36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K9" t="s">
        <v>4</v>
      </c>
      <c r="L9" s="19">
        <f t="shared" si="0"/>
        <v>1558.2671022639579</v>
      </c>
      <c r="M9" s="19">
        <f t="shared" si="0"/>
        <v>1580.7188297431492</v>
      </c>
      <c r="N9" s="19">
        <f t="shared" si="0"/>
        <v>0</v>
      </c>
      <c r="O9" s="19">
        <f t="shared" si="0"/>
        <v>0</v>
      </c>
      <c r="P9" s="19">
        <f t="shared" si="0"/>
        <v>0</v>
      </c>
      <c r="Q9" s="19">
        <f t="shared" si="0"/>
        <v>0</v>
      </c>
    </row>
    <row r="10" spans="1:17">
      <c r="A10" t="s">
        <v>29</v>
      </c>
      <c r="B10" s="33">
        <f t="shared" ref="B10:G10" si="1">SUM(B5:B9)</f>
        <v>9956.5600000000013</v>
      </c>
      <c r="C10" s="33">
        <f t="shared" si="1"/>
        <v>12840.61</v>
      </c>
      <c r="D10" s="33">
        <f t="shared" si="1"/>
        <v>0</v>
      </c>
      <c r="E10" s="33">
        <f t="shared" si="1"/>
        <v>0</v>
      </c>
      <c r="F10" s="33">
        <f t="shared" si="1"/>
        <v>0</v>
      </c>
      <c r="G10" s="33">
        <f t="shared" si="1"/>
        <v>0</v>
      </c>
      <c r="K10" t="s">
        <v>21</v>
      </c>
      <c r="L10" s="33">
        <f t="shared" ref="L10:Q10" si="2">SUM(L5:L9)</f>
        <v>8960.9040000000005</v>
      </c>
      <c r="M10" s="33">
        <f t="shared" si="2"/>
        <v>11556.549000000001</v>
      </c>
      <c r="N10" s="33">
        <f t="shared" si="2"/>
        <v>0</v>
      </c>
      <c r="O10" s="33">
        <f t="shared" si="2"/>
        <v>0</v>
      </c>
      <c r="P10" s="33">
        <f t="shared" si="2"/>
        <v>0</v>
      </c>
      <c r="Q10" s="33">
        <f t="shared" si="2"/>
        <v>0</v>
      </c>
    </row>
    <row r="11" spans="1:17">
      <c r="B11" s="1"/>
      <c r="C11" s="1"/>
      <c r="D11" s="1"/>
      <c r="E11" s="1"/>
      <c r="F11" s="1"/>
      <c r="G11" s="1"/>
    </row>
    <row r="12" spans="1:17">
      <c r="A12" s="34" t="s">
        <v>30</v>
      </c>
      <c r="B12" s="1"/>
      <c r="C12" s="1"/>
      <c r="D12" s="1"/>
      <c r="E12" s="1"/>
      <c r="F12" s="1"/>
      <c r="G12" s="1"/>
      <c r="K12" t="s">
        <v>31</v>
      </c>
    </row>
    <row r="13" spans="1:17">
      <c r="B13" s="1">
        <v>2015</v>
      </c>
      <c r="C13" s="1">
        <v>2020</v>
      </c>
      <c r="D13" s="1">
        <v>2025</v>
      </c>
      <c r="E13" s="1">
        <v>2030</v>
      </c>
      <c r="F13" s="1">
        <v>2035</v>
      </c>
      <c r="G13" s="1">
        <v>2040</v>
      </c>
      <c r="L13">
        <v>2015</v>
      </c>
      <c r="M13">
        <v>2020</v>
      </c>
      <c r="N13">
        <v>2025</v>
      </c>
      <c r="O13">
        <v>2030</v>
      </c>
      <c r="P13">
        <v>2035</v>
      </c>
      <c r="Q13">
        <v>2040</v>
      </c>
    </row>
    <row r="14" spans="1:17">
      <c r="A14" t="s">
        <v>0</v>
      </c>
      <c r="B14" s="1">
        <v>5642.7</v>
      </c>
      <c r="C14" s="1">
        <v>7918.7</v>
      </c>
      <c r="D14" s="1">
        <v>14620.93</v>
      </c>
      <c r="E14" s="1">
        <v>14620.93</v>
      </c>
      <c r="F14" s="1">
        <v>14620.93</v>
      </c>
      <c r="G14" s="1">
        <v>14620.93</v>
      </c>
      <c r="K14" t="s">
        <v>0</v>
      </c>
      <c r="L14" s="35">
        <f t="shared" ref="L14:Q18" si="3">B14/B$19</f>
        <v>0.23412566034165985</v>
      </c>
      <c r="M14" s="35">
        <f t="shared" si="3"/>
        <v>0.17873127809780645</v>
      </c>
      <c r="N14" s="35">
        <f t="shared" si="3"/>
        <v>0.24906012187838669</v>
      </c>
      <c r="O14" s="35">
        <f t="shared" si="3"/>
        <v>0.24906012187838669</v>
      </c>
      <c r="P14" s="35">
        <f t="shared" si="3"/>
        <v>0.24906012187838669</v>
      </c>
      <c r="Q14" s="35">
        <f t="shared" si="3"/>
        <v>0.24906012187838669</v>
      </c>
    </row>
    <row r="15" spans="1:17">
      <c r="A15" t="s">
        <v>1</v>
      </c>
      <c r="B15" s="1">
        <v>6340</v>
      </c>
      <c r="C15" s="1">
        <v>10792</v>
      </c>
      <c r="D15" s="1">
        <v>10792</v>
      </c>
      <c r="E15" s="1">
        <v>10792</v>
      </c>
      <c r="F15" s="1">
        <v>10792</v>
      </c>
      <c r="G15" s="1">
        <v>10792</v>
      </c>
      <c r="K15" t="s">
        <v>1</v>
      </c>
      <c r="L15" s="35">
        <f t="shared" si="3"/>
        <v>0.26305787771211009</v>
      </c>
      <c r="M15" s="35">
        <f t="shared" si="3"/>
        <v>0.24358391569721383</v>
      </c>
      <c r="N15" s="35">
        <f t="shared" si="3"/>
        <v>0.18383624265430099</v>
      </c>
      <c r="O15" s="35">
        <f t="shared" si="3"/>
        <v>0.18383624265430099</v>
      </c>
      <c r="P15" s="35">
        <f t="shared" si="3"/>
        <v>0.18383624265430099</v>
      </c>
      <c r="Q15" s="35">
        <f t="shared" si="3"/>
        <v>0.18383624265430099</v>
      </c>
    </row>
    <row r="16" spans="1:17">
      <c r="A16" t="s">
        <v>2</v>
      </c>
      <c r="B16" s="1">
        <v>4201.7</v>
      </c>
      <c r="C16" s="1">
        <v>11382.7</v>
      </c>
      <c r="D16" s="1">
        <v>13763.7</v>
      </c>
      <c r="E16" s="1">
        <v>13763.7</v>
      </c>
      <c r="F16" s="1">
        <v>13763.7</v>
      </c>
      <c r="G16" s="1">
        <v>13763.7</v>
      </c>
      <c r="K16" t="s">
        <v>2</v>
      </c>
      <c r="L16" s="35">
        <f t="shared" si="3"/>
        <v>0.17433600706356039</v>
      </c>
      <c r="M16" s="35">
        <f t="shared" si="3"/>
        <v>0.25691647861440658</v>
      </c>
      <c r="N16" s="35">
        <f t="shared" si="3"/>
        <v>0.23445764390483717</v>
      </c>
      <c r="O16" s="35">
        <f t="shared" si="3"/>
        <v>0.23445764390483717</v>
      </c>
      <c r="P16" s="35">
        <f t="shared" si="3"/>
        <v>0.23445764390483717</v>
      </c>
      <c r="Q16" s="35">
        <f t="shared" si="3"/>
        <v>0.23445764390483717</v>
      </c>
    </row>
    <row r="17" spans="1:19">
      <c r="A17" t="s">
        <v>3</v>
      </c>
      <c r="B17" s="1">
        <v>3725.66</v>
      </c>
      <c r="C17" s="1">
        <v>8151.56</v>
      </c>
      <c r="D17" s="1">
        <v>13134.59</v>
      </c>
      <c r="E17" s="1">
        <v>13134.59</v>
      </c>
      <c r="F17" s="1">
        <v>13134.59</v>
      </c>
      <c r="G17" s="1">
        <v>13134.59</v>
      </c>
      <c r="K17" t="s">
        <v>3</v>
      </c>
      <c r="L17" s="35">
        <f t="shared" si="3"/>
        <v>0.15458426067458991</v>
      </c>
      <c r="M17" s="35">
        <f t="shared" si="3"/>
        <v>0.18398711117872318</v>
      </c>
      <c r="N17" s="35">
        <f t="shared" si="3"/>
        <v>0.22374107435181201</v>
      </c>
      <c r="O17" s="35">
        <f t="shared" si="3"/>
        <v>0.22374107435181201</v>
      </c>
      <c r="P17" s="35">
        <f t="shared" si="3"/>
        <v>0.22374107435181201</v>
      </c>
      <c r="Q17" s="35">
        <f t="shared" si="3"/>
        <v>0.22374107435181201</v>
      </c>
    </row>
    <row r="18" spans="1:19">
      <c r="A18" t="s">
        <v>4</v>
      </c>
      <c r="B18" s="1">
        <v>4191.1000000000004</v>
      </c>
      <c r="C18" s="1">
        <v>6060.1</v>
      </c>
      <c r="D18" s="1">
        <v>6393.2</v>
      </c>
      <c r="E18" s="1">
        <v>6393.2</v>
      </c>
      <c r="F18" s="1">
        <v>6393.2</v>
      </c>
      <c r="G18" s="1">
        <v>6393.2</v>
      </c>
      <c r="K18" t="s">
        <v>4</v>
      </c>
      <c r="L18" s="35">
        <f t="shared" si="3"/>
        <v>0.17389619420807961</v>
      </c>
      <c r="M18" s="35">
        <f t="shared" si="3"/>
        <v>0.13678121641185004</v>
      </c>
      <c r="N18" s="35">
        <f t="shared" si="3"/>
        <v>0.10890491721066319</v>
      </c>
      <c r="O18" s="35">
        <f t="shared" si="3"/>
        <v>0.10890491721066319</v>
      </c>
      <c r="P18" s="35">
        <f t="shared" si="3"/>
        <v>0.10890491721066319</v>
      </c>
      <c r="Q18" s="35">
        <f t="shared" si="3"/>
        <v>0.10890491721066319</v>
      </c>
    </row>
    <row r="19" spans="1:19">
      <c r="A19" t="s">
        <v>21</v>
      </c>
      <c r="B19" s="15">
        <f t="shared" ref="B19:G19" si="4">SUM(B14:B18)</f>
        <v>24101.160000000003</v>
      </c>
      <c r="C19" s="15">
        <f t="shared" si="4"/>
        <v>44305.06</v>
      </c>
      <c r="D19" s="15">
        <f t="shared" si="4"/>
        <v>58704.42</v>
      </c>
      <c r="E19" s="15">
        <f t="shared" si="4"/>
        <v>58704.42</v>
      </c>
      <c r="F19" s="15">
        <f t="shared" si="4"/>
        <v>58704.42</v>
      </c>
      <c r="G19" s="15">
        <f t="shared" si="4"/>
        <v>58704.42</v>
      </c>
      <c r="H19" s="15"/>
      <c r="I19" s="42"/>
      <c r="K19" t="s">
        <v>21</v>
      </c>
      <c r="L19" s="36">
        <f t="shared" ref="L19:Q19" si="5">SUM(L14:L18)</f>
        <v>1</v>
      </c>
      <c r="M19" s="36">
        <f t="shared" si="5"/>
        <v>1</v>
      </c>
      <c r="N19" s="36">
        <f t="shared" si="5"/>
        <v>1</v>
      </c>
      <c r="O19" s="36">
        <f t="shared" si="5"/>
        <v>1</v>
      </c>
      <c r="P19" s="36">
        <f t="shared" si="5"/>
        <v>1</v>
      </c>
      <c r="Q19" s="36">
        <f t="shared" si="5"/>
        <v>1</v>
      </c>
      <c r="S19" s="15"/>
    </row>
    <row r="20" spans="1:19">
      <c r="B20" s="1"/>
      <c r="C20" s="1"/>
      <c r="D20" s="1"/>
      <c r="E20" s="1"/>
      <c r="F20" s="1"/>
      <c r="G20" s="1"/>
    </row>
    <row r="21" spans="1:19">
      <c r="A21" t="s">
        <v>14</v>
      </c>
      <c r="B21" s="1"/>
      <c r="C21" s="1"/>
      <c r="D21" s="1"/>
      <c r="E21" s="1"/>
      <c r="F21" s="1"/>
      <c r="G21" s="1"/>
      <c r="K21" t="s">
        <v>38</v>
      </c>
      <c r="L21" s="1"/>
      <c r="M21" s="1"/>
      <c r="N21" s="1"/>
      <c r="O21" s="1"/>
      <c r="P21" s="1"/>
      <c r="Q21" s="1"/>
    </row>
    <row r="22" spans="1:19">
      <c r="B22" s="1">
        <v>2015</v>
      </c>
      <c r="C22" s="1">
        <v>2020</v>
      </c>
      <c r="D22" s="1">
        <v>2025</v>
      </c>
      <c r="E22" s="1">
        <v>2030</v>
      </c>
      <c r="F22" s="1">
        <v>2035</v>
      </c>
      <c r="G22" s="1">
        <v>2040</v>
      </c>
      <c r="L22" s="1">
        <v>2015</v>
      </c>
      <c r="M22" s="1">
        <v>2020</v>
      </c>
      <c r="N22" s="1">
        <v>2025</v>
      </c>
      <c r="O22" s="1">
        <v>2030</v>
      </c>
      <c r="P22" s="1">
        <v>2035</v>
      </c>
      <c r="Q22" s="1">
        <v>2040</v>
      </c>
    </row>
    <row r="23" spans="1:19">
      <c r="A23" t="s">
        <v>0</v>
      </c>
      <c r="B23" s="37">
        <f>SUM($B5:B5)</f>
        <v>3821.26</v>
      </c>
      <c r="C23" s="37">
        <f>SUM($B5:C5)</f>
        <v>16661.870000000003</v>
      </c>
      <c r="D23" s="37">
        <f>SUM($B5:D5)</f>
        <v>16661.870000000003</v>
      </c>
      <c r="E23" s="37">
        <f>SUM($B5:E5)</f>
        <v>16661.870000000003</v>
      </c>
      <c r="F23" s="37">
        <f>SUM($B5:F5)</f>
        <v>16661.870000000003</v>
      </c>
      <c r="G23" s="37">
        <f>SUM($B5:G5)</f>
        <v>16661.870000000003</v>
      </c>
      <c r="K23" t="s">
        <v>0</v>
      </c>
      <c r="L23" s="37">
        <f>SUM($L5:L5)</f>
        <v>2097.9775662582215</v>
      </c>
      <c r="M23" s="37">
        <f>SUM($L5:M5)</f>
        <v>4163.494339428149</v>
      </c>
      <c r="N23" s="37">
        <f>SUM($L5:N5)</f>
        <v>4163.494339428149</v>
      </c>
      <c r="O23" s="37">
        <f>SUM($L5:O5)</f>
        <v>4163.494339428149</v>
      </c>
      <c r="P23" s="37">
        <f>SUM($L5:P5)</f>
        <v>4163.494339428149</v>
      </c>
      <c r="Q23" s="37">
        <f>SUM($L5:Q5)</f>
        <v>4163.494339428149</v>
      </c>
    </row>
    <row r="24" spans="1:19">
      <c r="A24" t="s">
        <v>1</v>
      </c>
      <c r="B24" s="37">
        <f>SUM($B6:B6)</f>
        <v>734.94</v>
      </c>
      <c r="C24" s="37">
        <f>SUM($B6:C6)</f>
        <v>734.94</v>
      </c>
      <c r="D24" s="37">
        <f>SUM($B6:D6)</f>
        <v>734.94</v>
      </c>
      <c r="E24" s="37">
        <f>SUM($B6:E6)</f>
        <v>734.94</v>
      </c>
      <c r="F24" s="37">
        <f>SUM($B6:F6)</f>
        <v>734.94</v>
      </c>
      <c r="G24" s="37">
        <f>SUM($B6:G6)</f>
        <v>734.94</v>
      </c>
      <c r="K24" t="s">
        <v>1</v>
      </c>
      <c r="L24" s="37">
        <f>SUM($L6:L6)</f>
        <v>2357.2363886219587</v>
      </c>
      <c r="M24" s="37">
        <f>SUM($L6:M6)</f>
        <v>5172.2258459886798</v>
      </c>
      <c r="N24" s="37">
        <f>SUM($L6:N6)</f>
        <v>5172.2258459886798</v>
      </c>
      <c r="O24" s="37">
        <f>SUM($L6:O6)</f>
        <v>5172.2258459886798</v>
      </c>
      <c r="P24" s="37">
        <f>SUM($L6:P6)</f>
        <v>5172.2258459886798</v>
      </c>
      <c r="Q24" s="37">
        <f>SUM($L6:Q6)</f>
        <v>5172.2258459886798</v>
      </c>
    </row>
    <row r="25" spans="1:19">
      <c r="A25" t="s">
        <v>2</v>
      </c>
      <c r="B25" s="37">
        <f>SUM($B7:B7)</f>
        <v>0</v>
      </c>
      <c r="C25" s="37">
        <f>SUM($B7:C7)</f>
        <v>0</v>
      </c>
      <c r="D25" s="37">
        <f>SUM($B7:D7)</f>
        <v>0</v>
      </c>
      <c r="E25" s="37">
        <f>SUM($B7:E7)</f>
        <v>0</v>
      </c>
      <c r="F25" s="37">
        <f>SUM($B7:F7)</f>
        <v>0</v>
      </c>
      <c r="G25" s="37">
        <f>SUM($B7:G7)</f>
        <v>0</v>
      </c>
      <c r="K25" t="s">
        <v>2</v>
      </c>
      <c r="L25" s="37">
        <f>SUM($L7:L7)</f>
        <v>1562.2082230398869</v>
      </c>
      <c r="M25" s="37">
        <f>SUM($L7:M7)</f>
        <v>4531.2760970547288</v>
      </c>
      <c r="N25" s="37">
        <f>SUM($L7:N7)</f>
        <v>4531.2760970547288</v>
      </c>
      <c r="O25" s="37">
        <f>SUM($L7:O7)</f>
        <v>4531.2760970547288</v>
      </c>
      <c r="P25" s="37">
        <f>SUM($L7:P7)</f>
        <v>4531.2760970547288</v>
      </c>
      <c r="Q25" s="37">
        <f>SUM($L7:Q7)</f>
        <v>4531.2760970547288</v>
      </c>
    </row>
    <row r="26" spans="1:19">
      <c r="A26" t="s">
        <v>3</v>
      </c>
      <c r="B26" s="37">
        <f>SUM($B8:B8)</f>
        <v>0</v>
      </c>
      <c r="C26" s="37">
        <f>SUM($B8:C8)</f>
        <v>0</v>
      </c>
      <c r="D26" s="37">
        <f>SUM($B8:D8)</f>
        <v>0</v>
      </c>
      <c r="E26" s="37">
        <f>SUM($B8:E8)</f>
        <v>0</v>
      </c>
      <c r="F26" s="37">
        <f>SUM($B8:F8)</f>
        <v>0</v>
      </c>
      <c r="G26" s="37">
        <f>SUM($B8:G8)</f>
        <v>0</v>
      </c>
      <c r="K26" t="s">
        <v>3</v>
      </c>
      <c r="L26" s="37">
        <f>SUM($L8:L8)</f>
        <v>1385.2147198159757</v>
      </c>
      <c r="M26" s="37">
        <f>SUM($L8:M8)</f>
        <v>3511.4707855213383</v>
      </c>
      <c r="N26" s="37">
        <f>SUM($L8:N8)</f>
        <v>3511.4707855213383</v>
      </c>
      <c r="O26" s="37">
        <f>SUM($L8:O8)</f>
        <v>3511.4707855213383</v>
      </c>
      <c r="P26" s="37">
        <f>SUM($L8:P8)</f>
        <v>3511.4707855213383</v>
      </c>
      <c r="Q26" s="37">
        <f>SUM($L8:Q8)</f>
        <v>3511.4707855213383</v>
      </c>
    </row>
    <row r="27" spans="1:19">
      <c r="A27" t="s">
        <v>4</v>
      </c>
      <c r="B27" s="37">
        <f>SUM($B9:B9)</f>
        <v>5400.36</v>
      </c>
      <c r="C27" s="37">
        <f>SUM($B9:C9)</f>
        <v>5400.36</v>
      </c>
      <c r="D27" s="37">
        <f>SUM($B9:D9)</f>
        <v>5400.36</v>
      </c>
      <c r="E27" s="37">
        <f>SUM($B9:E9)</f>
        <v>5400.36</v>
      </c>
      <c r="F27" s="37">
        <f>SUM($B9:F9)</f>
        <v>5400.36</v>
      </c>
      <c r="G27" s="37">
        <f>SUM($B9:G9)</f>
        <v>5400.36</v>
      </c>
      <c r="K27" t="s">
        <v>4</v>
      </c>
      <c r="L27" s="37">
        <f>SUM($L9:L9)</f>
        <v>1558.2671022639579</v>
      </c>
      <c r="M27" s="37">
        <f>SUM($L9:M9)</f>
        <v>3138.9859320071073</v>
      </c>
      <c r="N27" s="37">
        <f>SUM($L9:N9)</f>
        <v>3138.9859320071073</v>
      </c>
      <c r="O27" s="37">
        <f>SUM($L9:O9)</f>
        <v>3138.9859320071073</v>
      </c>
      <c r="P27" s="37">
        <f>SUM($L9:P9)</f>
        <v>3138.9859320071073</v>
      </c>
      <c r="Q27" s="37">
        <f>SUM($L9:Q9)</f>
        <v>3138.9859320071073</v>
      </c>
    </row>
    <row r="28" spans="1:19">
      <c r="A28" t="s">
        <v>29</v>
      </c>
      <c r="B28" s="33">
        <f t="shared" ref="B28:G28" si="6">SUM(B23:B27)</f>
        <v>9956.5600000000013</v>
      </c>
      <c r="C28" s="33">
        <f t="shared" si="6"/>
        <v>22797.170000000002</v>
      </c>
      <c r="D28" s="33">
        <f t="shared" si="6"/>
        <v>22797.170000000002</v>
      </c>
      <c r="E28" s="33">
        <f t="shared" si="6"/>
        <v>22797.170000000002</v>
      </c>
      <c r="F28" s="33">
        <f t="shared" si="6"/>
        <v>22797.170000000002</v>
      </c>
      <c r="G28" s="33">
        <f t="shared" si="6"/>
        <v>22797.170000000002</v>
      </c>
      <c r="K28" t="s">
        <v>29</v>
      </c>
      <c r="L28" s="33">
        <f t="shared" ref="L28:Q28" si="7">SUM(L23:L27)</f>
        <v>8960.9040000000005</v>
      </c>
      <c r="M28" s="33">
        <f t="shared" si="7"/>
        <v>20517.453000000005</v>
      </c>
      <c r="N28" s="33">
        <f t="shared" si="7"/>
        <v>20517.453000000005</v>
      </c>
      <c r="O28" s="33">
        <f t="shared" si="7"/>
        <v>20517.453000000005</v>
      </c>
      <c r="P28" s="33">
        <f t="shared" si="7"/>
        <v>20517.453000000005</v>
      </c>
      <c r="Q28" s="33">
        <f t="shared" si="7"/>
        <v>20517.453000000005</v>
      </c>
    </row>
    <row r="29" spans="1:19">
      <c r="B29" s="39"/>
      <c r="C29" s="39"/>
      <c r="D29" s="39"/>
      <c r="E29" s="39"/>
      <c r="F29" s="39"/>
      <c r="G29" s="39"/>
      <c r="L29" s="39"/>
      <c r="M29" s="39"/>
      <c r="N29" s="39"/>
      <c r="O29" s="39"/>
      <c r="P29" s="39"/>
      <c r="Q29" s="39"/>
    </row>
    <row r="30" spans="1:19">
      <c r="B30" s="1"/>
      <c r="C30" s="1"/>
      <c r="D30" s="1"/>
      <c r="E30" s="1"/>
      <c r="F30" s="1"/>
      <c r="G30" s="1"/>
    </row>
    <row r="31" spans="1:19" ht="20.25" thickBot="1">
      <c r="A31" s="50" t="s">
        <v>69</v>
      </c>
      <c r="B31" s="21"/>
      <c r="C31" s="26"/>
      <c r="D31" s="26"/>
      <c r="E31" s="26"/>
      <c r="F31" s="26"/>
      <c r="G31" s="26"/>
      <c r="H31" s="21"/>
      <c r="I31" s="21"/>
      <c r="J31" s="21"/>
      <c r="K31" s="21"/>
      <c r="L31" s="21"/>
      <c r="M31" s="21"/>
      <c r="N31" s="21"/>
      <c r="O31" s="21"/>
      <c r="P31" s="21"/>
      <c r="Q31" s="21"/>
    </row>
    <row r="32" spans="1:19" ht="16.5" customHeight="1" thickTop="1">
      <c r="A32" s="1" t="s">
        <v>7</v>
      </c>
      <c r="B32" s="1"/>
      <c r="C32" s="1"/>
      <c r="D32" s="1"/>
      <c r="E32" s="1"/>
      <c r="F32" s="1"/>
      <c r="G32" s="1"/>
      <c r="H32" s="91" t="s">
        <v>56</v>
      </c>
      <c r="I32" s="91" t="s">
        <v>57</v>
      </c>
      <c r="J32" s="91" t="s">
        <v>58</v>
      </c>
    </row>
    <row r="33" spans="1:27">
      <c r="A33" s="1" t="s">
        <v>34</v>
      </c>
      <c r="B33" s="1"/>
      <c r="C33" s="1"/>
      <c r="D33" s="1"/>
      <c r="E33" s="1"/>
      <c r="F33" s="1"/>
      <c r="G33" s="1"/>
      <c r="H33" s="92"/>
      <c r="I33" s="92"/>
      <c r="J33" s="92"/>
      <c r="K33" t="s">
        <v>37</v>
      </c>
    </row>
    <row r="34" spans="1:27" ht="16.5" thickBot="1">
      <c r="B34" s="1">
        <v>2015</v>
      </c>
      <c r="C34" s="1">
        <v>2020</v>
      </c>
      <c r="D34" s="1">
        <v>2025</v>
      </c>
      <c r="E34" s="1">
        <v>2030</v>
      </c>
      <c r="F34" s="1">
        <v>2035</v>
      </c>
      <c r="G34" s="1">
        <v>2040</v>
      </c>
      <c r="H34" s="93"/>
      <c r="I34" s="93"/>
      <c r="J34" s="94"/>
      <c r="L34">
        <v>2015</v>
      </c>
      <c r="M34">
        <v>2020</v>
      </c>
      <c r="N34">
        <v>2025</v>
      </c>
      <c r="O34">
        <v>2030</v>
      </c>
      <c r="P34">
        <v>2035</v>
      </c>
      <c r="Q34">
        <v>2040</v>
      </c>
      <c r="T34" t="s">
        <v>45</v>
      </c>
      <c r="U34" t="s">
        <v>46</v>
      </c>
      <c r="V34" t="s">
        <v>47</v>
      </c>
      <c r="W34" t="s">
        <v>48</v>
      </c>
      <c r="X34" t="s">
        <v>49</v>
      </c>
      <c r="Y34" t="s">
        <v>50</v>
      </c>
    </row>
    <row r="35" spans="1:27">
      <c r="A35" t="s">
        <v>0</v>
      </c>
      <c r="B35" s="1">
        <v>0</v>
      </c>
      <c r="C35" s="1">
        <v>0</v>
      </c>
      <c r="D35" s="1">
        <v>0</v>
      </c>
      <c r="E35" s="1">
        <v>29432.18</v>
      </c>
      <c r="F35" s="1">
        <v>0</v>
      </c>
      <c r="G35" s="1">
        <v>0</v>
      </c>
      <c r="H35" s="29">
        <v>0.13333333333333333</v>
      </c>
      <c r="I35" s="43">
        <f>F54</f>
        <v>0.35510260724755843</v>
      </c>
      <c r="J35" s="45" t="s">
        <v>59</v>
      </c>
      <c r="K35" t="s">
        <v>0</v>
      </c>
      <c r="L35" s="38">
        <f>B35</f>
        <v>0</v>
      </c>
      <c r="M35" s="38">
        <f t="shared" ref="M35:O39" si="8">C$42*$Y35</f>
        <v>148.19380160267355</v>
      </c>
      <c r="N35" s="38">
        <f t="shared" si="8"/>
        <v>1716.4008936295284</v>
      </c>
      <c r="O35" s="38">
        <f t="shared" si="8"/>
        <v>8968.0517003955647</v>
      </c>
      <c r="P35" s="38">
        <v>0</v>
      </c>
      <c r="Q35" s="38">
        <v>0</v>
      </c>
      <c r="S35" t="s">
        <v>0</v>
      </c>
      <c r="T35" s="30">
        <v>29967.18</v>
      </c>
      <c r="U35" s="30">
        <v>29432.18</v>
      </c>
      <c r="V35" s="30">
        <v>535</v>
      </c>
      <c r="W35" s="30">
        <v>0</v>
      </c>
      <c r="X35" s="30">
        <f>($T$40*$J$36*$H35)+($T$40*$J$39*$I35)-V35-W35</f>
        <v>10777.764411178379</v>
      </c>
      <c r="Y35" s="31">
        <f>X35/$X$40</f>
        <v>0.33587505782981131</v>
      </c>
    </row>
    <row r="36" spans="1:27">
      <c r="A36" t="s">
        <v>1</v>
      </c>
      <c r="B36" s="1">
        <v>2000</v>
      </c>
      <c r="C36" s="1">
        <v>495.21</v>
      </c>
      <c r="D36" s="1">
        <v>104.79</v>
      </c>
      <c r="E36" s="1">
        <v>0</v>
      </c>
      <c r="F36" s="1">
        <v>0</v>
      </c>
      <c r="G36" s="1">
        <v>0</v>
      </c>
      <c r="H36" s="29">
        <v>0.4</v>
      </c>
      <c r="I36" s="43">
        <f>F55</f>
        <v>0.19936857078425591</v>
      </c>
      <c r="J36" s="46">
        <v>0.2</v>
      </c>
      <c r="K36" t="s">
        <v>1</v>
      </c>
      <c r="L36" s="38">
        <f>B36</f>
        <v>2000</v>
      </c>
      <c r="M36" s="38">
        <f t="shared" si="8"/>
        <v>94.368743964522125</v>
      </c>
      <c r="N36" s="38">
        <f t="shared" si="8"/>
        <v>1092.9917089628111</v>
      </c>
      <c r="O36" s="38">
        <f t="shared" si="8"/>
        <v>5710.790637818136</v>
      </c>
      <c r="P36" s="38">
        <v>0</v>
      </c>
      <c r="Q36" s="38">
        <v>0</v>
      </c>
      <c r="S36" t="s">
        <v>1</v>
      </c>
      <c r="T36" s="30">
        <v>2761</v>
      </c>
      <c r="U36" s="30">
        <v>2600</v>
      </c>
      <c r="V36" s="30">
        <v>161</v>
      </c>
      <c r="W36" s="30">
        <v>2000</v>
      </c>
      <c r="X36" s="30">
        <f>($T$40*$J$36*$H36)+($T$40*$J$39*$I36)-V36-W36</f>
        <v>6863.2026389022867</v>
      </c>
      <c r="Y36" s="31">
        <f>X36/$X$40</f>
        <v>0.21388281421777564</v>
      </c>
    </row>
    <row r="37" spans="1:27">
      <c r="A37" t="s">
        <v>2</v>
      </c>
      <c r="B37" s="1">
        <v>300</v>
      </c>
      <c r="C37" s="1">
        <v>0</v>
      </c>
      <c r="D37" s="1">
        <v>5600</v>
      </c>
      <c r="E37" s="1">
        <v>116.62</v>
      </c>
      <c r="F37" s="1">
        <v>0</v>
      </c>
      <c r="G37" s="1">
        <v>0</v>
      </c>
      <c r="H37" s="29">
        <v>0.26666666666666666</v>
      </c>
      <c r="I37" s="43">
        <f>F56</f>
        <v>0.38720141551164849</v>
      </c>
      <c r="J37" s="47"/>
      <c r="K37" t="s">
        <v>2</v>
      </c>
      <c r="L37" s="38">
        <f>B37</f>
        <v>300</v>
      </c>
      <c r="M37" s="38">
        <f t="shared" si="8"/>
        <v>173.99649402712495</v>
      </c>
      <c r="N37" s="38">
        <f t="shared" si="8"/>
        <v>2015.2512089356799</v>
      </c>
      <c r="O37" s="38">
        <f t="shared" si="8"/>
        <v>10529.519704923161</v>
      </c>
      <c r="P37" s="38">
        <v>0</v>
      </c>
      <c r="Q37" s="38">
        <v>0</v>
      </c>
      <c r="S37" t="s">
        <v>2</v>
      </c>
      <c r="T37" s="30">
        <v>6394.62</v>
      </c>
      <c r="U37" s="30">
        <v>6016.62</v>
      </c>
      <c r="V37" s="30">
        <v>378</v>
      </c>
      <c r="W37" s="30">
        <v>300</v>
      </c>
      <c r="X37" s="30">
        <f>($T$40*$J$36*$H37)+($T$40*$J$39*$I37)-V37-W37</f>
        <v>12654.329673134769</v>
      </c>
      <c r="Y37" s="31">
        <f>X37/$X$40</f>
        <v>0.39435578183109843</v>
      </c>
    </row>
    <row r="38" spans="1:27">
      <c r="A38" t="s">
        <v>3</v>
      </c>
      <c r="B38" s="1">
        <v>2800.5</v>
      </c>
      <c r="C38" s="1">
        <v>0</v>
      </c>
      <c r="D38" s="1">
        <v>50376.94</v>
      </c>
      <c r="E38" s="1">
        <v>7653.79</v>
      </c>
      <c r="F38" s="1">
        <v>9339.81</v>
      </c>
      <c r="G38" s="1">
        <v>0</v>
      </c>
      <c r="I38" s="44"/>
      <c r="J38" s="47" t="s">
        <v>55</v>
      </c>
      <c r="K38" t="s">
        <v>3</v>
      </c>
      <c r="L38" s="38">
        <f>B38</f>
        <v>2800.5</v>
      </c>
      <c r="M38" s="49">
        <f>C38*$J$42</f>
        <v>0</v>
      </c>
      <c r="N38" s="49">
        <f>D38*$J$42</f>
        <v>45339.246000000006</v>
      </c>
      <c r="O38" s="49">
        <f>E38*$J$42</f>
        <v>6888.4110000000001</v>
      </c>
      <c r="P38" s="60">
        <v>0</v>
      </c>
      <c r="Q38" s="60">
        <v>0</v>
      </c>
      <c r="S38" t="s">
        <v>3</v>
      </c>
      <c r="T38" s="30">
        <v>66389.23</v>
      </c>
      <c r="U38" s="30">
        <v>60831.23</v>
      </c>
      <c r="V38" s="30">
        <v>5557.9999999999927</v>
      </c>
      <c r="W38" s="30">
        <v>2800.5</v>
      </c>
      <c r="X38" s="30"/>
      <c r="Y38" s="31"/>
    </row>
    <row r="39" spans="1:27" ht="16.5" thickBot="1">
      <c r="A39" t="s">
        <v>4</v>
      </c>
      <c r="B39" s="1">
        <v>968.9</v>
      </c>
      <c r="C39" s="1">
        <v>0</v>
      </c>
      <c r="D39" s="1">
        <v>30.8</v>
      </c>
      <c r="E39" s="1">
        <v>419.18</v>
      </c>
      <c r="F39" s="1">
        <v>0</v>
      </c>
      <c r="G39" s="1">
        <v>0</v>
      </c>
      <c r="H39" s="29">
        <v>0.2</v>
      </c>
      <c r="I39" s="43">
        <f>F58</f>
        <v>5.8327406456537202E-2</v>
      </c>
      <c r="J39" s="48">
        <v>0.7</v>
      </c>
      <c r="K39" t="s">
        <v>4</v>
      </c>
      <c r="L39" s="38">
        <f>B39</f>
        <v>968.9</v>
      </c>
      <c r="M39" s="38">
        <f t="shared" si="8"/>
        <v>24.658008674156893</v>
      </c>
      <c r="N39" s="38">
        <f t="shared" si="8"/>
        <v>285.59243143597183</v>
      </c>
      <c r="O39" s="38">
        <f t="shared" si="8"/>
        <v>1492.1966656306622</v>
      </c>
      <c r="P39" s="38">
        <v>0</v>
      </c>
      <c r="Q39" s="38">
        <v>0</v>
      </c>
      <c r="S39" t="s">
        <v>4</v>
      </c>
      <c r="T39" s="30">
        <v>1978.88</v>
      </c>
      <c r="U39" s="30">
        <v>1418.88</v>
      </c>
      <c r="V39" s="30">
        <v>560</v>
      </c>
      <c r="W39" s="30">
        <v>968.9</v>
      </c>
      <c r="X39" s="30">
        <f>($T$40*$J$36*$H39)+($T$40*$J$39*$I39)-V39-W39</f>
        <v>1793.3152767845686</v>
      </c>
      <c r="Y39" s="31">
        <f>X39/$X$40</f>
        <v>5.5886346121314573E-2</v>
      </c>
    </row>
    <row r="40" spans="1:27">
      <c r="A40" t="s">
        <v>29</v>
      </c>
      <c r="B40" s="33">
        <f t="shared" ref="B40:I40" si="9">SUM(B35:B39)</f>
        <v>6069.4</v>
      </c>
      <c r="C40" s="33">
        <f t="shared" si="9"/>
        <v>495.21</v>
      </c>
      <c r="D40" s="33">
        <f t="shared" si="9"/>
        <v>56112.530000000006</v>
      </c>
      <c r="E40" s="33">
        <f t="shared" si="9"/>
        <v>37621.769999999997</v>
      </c>
      <c r="F40" s="33">
        <f t="shared" si="9"/>
        <v>9339.81</v>
      </c>
      <c r="G40" s="33">
        <f t="shared" si="9"/>
        <v>0</v>
      </c>
      <c r="H40" s="27">
        <f t="shared" si="9"/>
        <v>1</v>
      </c>
      <c r="I40" s="27">
        <f t="shared" si="9"/>
        <v>1</v>
      </c>
      <c r="K40" t="s">
        <v>21</v>
      </c>
      <c r="L40" s="33">
        <f t="shared" ref="L40:O40" si="10">SUM(L35:L39)</f>
        <v>6069.4</v>
      </c>
      <c r="M40" s="33">
        <f t="shared" si="10"/>
        <v>441.21704826847758</v>
      </c>
      <c r="N40" s="33">
        <f t="shared" si="10"/>
        <v>50449.482242963997</v>
      </c>
      <c r="O40" s="33">
        <f t="shared" si="10"/>
        <v>33588.969708767523</v>
      </c>
      <c r="P40" s="33">
        <v>0</v>
      </c>
      <c r="Q40" s="33">
        <v>0</v>
      </c>
      <c r="S40" t="s">
        <v>54</v>
      </c>
      <c r="T40" s="30">
        <f>SUM(T35:T39)-T38</f>
        <v>41101.680000000008</v>
      </c>
      <c r="U40" s="30">
        <f>SUM(U35:U39)-U38</f>
        <v>39467.68</v>
      </c>
      <c r="V40" s="30">
        <f>SUM(V35:V39)-V38</f>
        <v>1634</v>
      </c>
      <c r="W40" s="30">
        <f>SUM(W35:W39)-W38</f>
        <v>3268.8999999999996</v>
      </c>
      <c r="X40" s="30">
        <f>SUM(X35:X39)</f>
        <v>32088.612000000005</v>
      </c>
    </row>
    <row r="41" spans="1:27">
      <c r="A41" t="s">
        <v>54</v>
      </c>
      <c r="B41" s="39">
        <f t="shared" ref="B41:G41" si="11">B40-B38</f>
        <v>3268.8999999999996</v>
      </c>
      <c r="C41" s="39">
        <f t="shared" si="11"/>
        <v>495.21</v>
      </c>
      <c r="D41" s="39">
        <f t="shared" si="11"/>
        <v>5735.5900000000038</v>
      </c>
      <c r="E41" s="39">
        <f t="shared" si="11"/>
        <v>29967.979999999996</v>
      </c>
      <c r="F41" s="39">
        <f t="shared" si="11"/>
        <v>0</v>
      </c>
      <c r="G41" s="39">
        <f t="shared" si="11"/>
        <v>0</v>
      </c>
      <c r="J41" s="40" t="s">
        <v>61</v>
      </c>
      <c r="L41" s="39"/>
      <c r="M41" s="39"/>
      <c r="N41" s="39"/>
      <c r="O41" s="39"/>
      <c r="P41" s="39"/>
      <c r="Q41" s="39"/>
    </row>
    <row r="42" spans="1:27">
      <c r="A42" t="s">
        <v>51</v>
      </c>
      <c r="B42" s="32">
        <f>B40</f>
        <v>6069.4</v>
      </c>
      <c r="C42" s="30">
        <f>C41*($J$36+$J$39)-((C41/(SUM($C$41:$E$41)))*($B$41*(1-($J$36+$J$39))))</f>
        <v>441.21704826847753</v>
      </c>
      <c r="D42" s="30">
        <f>D41*($J$36+$J$39)-((D41/(SUM($C$41:$E$41)))*($B$41*(1-($J$36+$J$39))))</f>
        <v>5110.2362429639916</v>
      </c>
      <c r="E42" s="30">
        <f>E41*($J$36+$J$39)-((E41/(SUM($C$41:$E$41)))*($B$41*(1-($J$36+$J$39))))</f>
        <v>26700.558708767527</v>
      </c>
      <c r="J42" s="28">
        <v>0.9</v>
      </c>
    </row>
    <row r="44" spans="1:27">
      <c r="A44" t="s">
        <v>39</v>
      </c>
      <c r="K44" t="s">
        <v>40</v>
      </c>
      <c r="S44" t="s">
        <v>53</v>
      </c>
    </row>
    <row r="45" spans="1:27">
      <c r="B45" s="1">
        <v>2015</v>
      </c>
      <c r="C45" s="1">
        <v>2020</v>
      </c>
      <c r="D45" s="1">
        <v>2025</v>
      </c>
      <c r="E45" s="1">
        <v>2030</v>
      </c>
      <c r="F45" s="1">
        <v>2035</v>
      </c>
      <c r="G45" s="1">
        <v>2040</v>
      </c>
      <c r="L45">
        <v>2015</v>
      </c>
      <c r="M45">
        <v>2020</v>
      </c>
      <c r="N45">
        <v>2025</v>
      </c>
      <c r="O45">
        <v>2030</v>
      </c>
      <c r="P45">
        <v>2035</v>
      </c>
      <c r="Q45">
        <v>2040</v>
      </c>
      <c r="T45">
        <v>2015</v>
      </c>
      <c r="U45">
        <v>2020</v>
      </c>
      <c r="V45">
        <v>2025</v>
      </c>
      <c r="W45">
        <v>2030</v>
      </c>
      <c r="X45">
        <v>2035</v>
      </c>
      <c r="Y45">
        <v>2040</v>
      </c>
      <c r="AA45" t="s">
        <v>52</v>
      </c>
    </row>
    <row r="46" spans="1:27">
      <c r="A46" t="s">
        <v>0</v>
      </c>
      <c r="B46" s="1">
        <f>SUM($B35:B35)</f>
        <v>0</v>
      </c>
      <c r="C46" s="1">
        <f>SUM($B35:C35)</f>
        <v>0</v>
      </c>
      <c r="D46" s="1">
        <f>SUM($B35:D35)</f>
        <v>0</v>
      </c>
      <c r="E46" s="1">
        <f>SUM($B35:E35)</f>
        <v>29432.18</v>
      </c>
      <c r="F46" s="1">
        <f>SUM($B35:F35)</f>
        <v>29432.18</v>
      </c>
      <c r="G46" s="1">
        <f>SUM($B35:G35)</f>
        <v>29432.18</v>
      </c>
      <c r="K46" t="s">
        <v>0</v>
      </c>
      <c r="L46" s="30">
        <f>SUM($L35:L35)</f>
        <v>0</v>
      </c>
      <c r="M46" s="30">
        <f>SUM($L35:M35)</f>
        <v>148.19380160267355</v>
      </c>
      <c r="N46" s="30">
        <f>SUM($L35:N35)</f>
        <v>1864.594695232202</v>
      </c>
      <c r="O46" s="30">
        <f>SUM($L35:O35)</f>
        <v>10832.646395627766</v>
      </c>
      <c r="P46" s="30">
        <f>SUM($L35:P35)</f>
        <v>10832.646395627766</v>
      </c>
      <c r="Q46" s="30">
        <f>SUM($L35:Q35)</f>
        <v>10832.646395627766</v>
      </c>
      <c r="S46" t="s">
        <v>0</v>
      </c>
      <c r="T46" s="30">
        <f t="shared" ref="T46:Y50" si="12">L46+$V35</f>
        <v>535</v>
      </c>
      <c r="U46" s="30">
        <f t="shared" si="12"/>
        <v>683.1938016026736</v>
      </c>
      <c r="V46" s="30">
        <f t="shared" si="12"/>
        <v>2399.594695232202</v>
      </c>
      <c r="W46" s="30">
        <f t="shared" si="12"/>
        <v>11367.646395627766</v>
      </c>
      <c r="X46" s="30">
        <f t="shared" si="12"/>
        <v>11367.646395627766</v>
      </c>
      <c r="Y46" s="30">
        <f t="shared" si="12"/>
        <v>11367.646395627766</v>
      </c>
      <c r="AA46" s="31">
        <f>W46/(W$46+W$47+W$48+W$50)</f>
        <v>0.30595272021173858</v>
      </c>
    </row>
    <row r="47" spans="1:27">
      <c r="A47" t="s">
        <v>1</v>
      </c>
      <c r="B47" s="1">
        <f>SUM($B36:B36)</f>
        <v>2000</v>
      </c>
      <c r="C47" s="1">
        <f>SUM($B36:C36)</f>
        <v>2495.21</v>
      </c>
      <c r="D47" s="1">
        <f>SUM($B36:D36)</f>
        <v>2600</v>
      </c>
      <c r="E47" s="1">
        <f>SUM($B36:E36)</f>
        <v>2600</v>
      </c>
      <c r="F47" s="1">
        <f>SUM($B36:F36)</f>
        <v>2600</v>
      </c>
      <c r="G47" s="1">
        <f>SUM($B36:G36)</f>
        <v>2600</v>
      </c>
      <c r="K47" t="s">
        <v>1</v>
      </c>
      <c r="L47" s="30">
        <f>SUM($L36:L36)</f>
        <v>2000</v>
      </c>
      <c r="M47" s="30">
        <f>SUM($L36:M36)</f>
        <v>2094.3687439645223</v>
      </c>
      <c r="N47" s="30">
        <f>SUM($L36:N36)</f>
        <v>3187.3604529273334</v>
      </c>
      <c r="O47" s="30">
        <f>SUM($L36:O36)</f>
        <v>8898.1510907454685</v>
      </c>
      <c r="P47" s="30">
        <f>SUM($L36:P36)</f>
        <v>8898.1510907454685</v>
      </c>
      <c r="Q47" s="30">
        <f>SUM($L36:Q36)</f>
        <v>8898.1510907454685</v>
      </c>
      <c r="S47" t="s">
        <v>1</v>
      </c>
      <c r="T47" s="30">
        <f t="shared" si="12"/>
        <v>2161</v>
      </c>
      <c r="U47" s="30">
        <f t="shared" si="12"/>
        <v>2255.3687439645223</v>
      </c>
      <c r="V47" s="30">
        <f t="shared" si="12"/>
        <v>3348.3604529273334</v>
      </c>
      <c r="W47" s="30">
        <f t="shared" si="12"/>
        <v>9059.1510907454685</v>
      </c>
      <c r="X47" s="30">
        <f t="shared" si="12"/>
        <v>9059.1510907454685</v>
      </c>
      <c r="Y47" s="30">
        <f t="shared" si="12"/>
        <v>9059.1510907454685</v>
      </c>
      <c r="AA47" s="31">
        <f>W47/(W$46+W$47+W$48+W$50)</f>
        <v>0.24382108860183738</v>
      </c>
    </row>
    <row r="48" spans="1:27">
      <c r="A48" t="s">
        <v>2</v>
      </c>
      <c r="B48" s="1">
        <f>SUM($B37:B37)</f>
        <v>300</v>
      </c>
      <c r="C48" s="1">
        <f>SUM($B37:C37)</f>
        <v>300</v>
      </c>
      <c r="D48" s="1">
        <f>SUM($B37:D37)</f>
        <v>5900</v>
      </c>
      <c r="E48" s="1">
        <f>SUM($B37:E37)</f>
        <v>6016.62</v>
      </c>
      <c r="F48" s="1">
        <f>SUM($B37:F37)</f>
        <v>6016.62</v>
      </c>
      <c r="G48" s="1">
        <f>SUM($B37:G37)</f>
        <v>6016.62</v>
      </c>
      <c r="K48" t="s">
        <v>2</v>
      </c>
      <c r="L48" s="30">
        <f>SUM($L37:L37)</f>
        <v>300</v>
      </c>
      <c r="M48" s="30">
        <f>SUM($L37:M37)</f>
        <v>473.99649402712498</v>
      </c>
      <c r="N48" s="30">
        <f>SUM($L37:N37)</f>
        <v>2489.2477029628049</v>
      </c>
      <c r="O48" s="30">
        <f>SUM($L37:O37)</f>
        <v>13018.767407885965</v>
      </c>
      <c r="P48" s="30">
        <f>SUM($L37:P37)</f>
        <v>13018.767407885965</v>
      </c>
      <c r="Q48" s="30">
        <f>SUM($L37:Q37)</f>
        <v>13018.767407885965</v>
      </c>
      <c r="S48" t="s">
        <v>2</v>
      </c>
      <c r="T48" s="30">
        <f t="shared" si="12"/>
        <v>678</v>
      </c>
      <c r="U48" s="30">
        <f t="shared" si="12"/>
        <v>851.99649402712498</v>
      </c>
      <c r="V48" s="30">
        <f t="shared" si="12"/>
        <v>2867.2477029628049</v>
      </c>
      <c r="W48" s="30">
        <f t="shared" si="12"/>
        <v>13396.767407885965</v>
      </c>
      <c r="X48" s="30">
        <f t="shared" si="12"/>
        <v>13396.767407885965</v>
      </c>
      <c r="Y48" s="30">
        <f t="shared" si="12"/>
        <v>13396.767407885965</v>
      </c>
      <c r="AA48" s="31">
        <f>W48/(W$46+W$47+W$48+W$50)</f>
        <v>0.36056517662821996</v>
      </c>
    </row>
    <row r="49" spans="1:27">
      <c r="A49" t="s">
        <v>3</v>
      </c>
      <c r="B49" s="1">
        <f>SUM($B38:B38)</f>
        <v>2800.5</v>
      </c>
      <c r="C49" s="1">
        <f>SUM($B38:C38)</f>
        <v>2800.5</v>
      </c>
      <c r="D49" s="1">
        <f>SUM($B38:D38)</f>
        <v>53177.440000000002</v>
      </c>
      <c r="E49" s="1">
        <f>SUM($B38:E38)</f>
        <v>60831.23</v>
      </c>
      <c r="F49" s="1">
        <f>SUM($B38:F38)</f>
        <v>70171.040000000008</v>
      </c>
      <c r="G49" s="1">
        <f>SUM($B38:G38)</f>
        <v>70171.040000000008</v>
      </c>
      <c r="K49" t="s">
        <v>3</v>
      </c>
      <c r="L49" s="30">
        <f>SUM($L38:L38)</f>
        <v>2800.5</v>
      </c>
      <c r="M49" s="30">
        <f>SUM($L38:M38)</f>
        <v>2800.5</v>
      </c>
      <c r="N49" s="30">
        <f>SUM($L38:N38)</f>
        <v>48139.746000000006</v>
      </c>
      <c r="O49" s="30">
        <f>SUM($L38:O38)</f>
        <v>55028.157000000007</v>
      </c>
      <c r="P49" s="30">
        <f>SUM($L38:P38)</f>
        <v>55028.157000000007</v>
      </c>
      <c r="Q49" s="30">
        <f>SUM($L38:Q38)</f>
        <v>55028.157000000007</v>
      </c>
      <c r="S49" t="s">
        <v>3</v>
      </c>
      <c r="T49" s="30">
        <f t="shared" si="12"/>
        <v>8358.4999999999927</v>
      </c>
      <c r="U49" s="30">
        <f t="shared" si="12"/>
        <v>8358.4999999999927</v>
      </c>
      <c r="V49" s="30">
        <f t="shared" si="12"/>
        <v>53697.745999999999</v>
      </c>
      <c r="W49" s="30">
        <f t="shared" si="12"/>
        <v>60586.156999999999</v>
      </c>
      <c r="X49" s="30">
        <f t="shared" si="12"/>
        <v>60586.156999999999</v>
      </c>
      <c r="Y49" s="30">
        <f t="shared" si="12"/>
        <v>60586.156999999999</v>
      </c>
      <c r="AA49" s="31"/>
    </row>
    <row r="50" spans="1:27">
      <c r="A50" t="s">
        <v>4</v>
      </c>
      <c r="B50" s="1">
        <f>SUM($B39:B39)</f>
        <v>968.9</v>
      </c>
      <c r="C50" s="1">
        <f>SUM($B39:C39)</f>
        <v>968.9</v>
      </c>
      <c r="D50" s="1">
        <f>SUM($B39:D39)</f>
        <v>999.69999999999993</v>
      </c>
      <c r="E50" s="1">
        <f>SUM($B39:E39)</f>
        <v>1418.8799999999999</v>
      </c>
      <c r="F50" s="1">
        <f>SUM($B39:F39)</f>
        <v>1418.8799999999999</v>
      </c>
      <c r="G50" s="1">
        <f>SUM($B39:G39)</f>
        <v>1418.8799999999999</v>
      </c>
      <c r="K50" t="s">
        <v>4</v>
      </c>
      <c r="L50" s="30">
        <f>SUM($L39:L39)</f>
        <v>968.9</v>
      </c>
      <c r="M50" s="30">
        <f>SUM($L39:M39)</f>
        <v>993.55800867415689</v>
      </c>
      <c r="N50" s="30">
        <f>SUM($L39:N39)</f>
        <v>1279.1504401101288</v>
      </c>
      <c r="O50" s="30">
        <f>SUM($L39:O39)</f>
        <v>2771.347105740791</v>
      </c>
      <c r="P50" s="30">
        <f>SUM($L39:P39)</f>
        <v>2771.347105740791</v>
      </c>
      <c r="Q50" s="30">
        <f>SUM($L39:Q39)</f>
        <v>2771.347105740791</v>
      </c>
      <c r="S50" t="s">
        <v>4</v>
      </c>
      <c r="T50" s="30">
        <f t="shared" si="12"/>
        <v>1528.9</v>
      </c>
      <c r="U50" s="30">
        <f t="shared" si="12"/>
        <v>1553.558008674157</v>
      </c>
      <c r="V50" s="30">
        <f t="shared" si="12"/>
        <v>1839.1504401101288</v>
      </c>
      <c r="W50" s="30">
        <f t="shared" si="12"/>
        <v>3331.347105740791</v>
      </c>
      <c r="X50" s="30">
        <f t="shared" si="12"/>
        <v>3331.347105740791</v>
      </c>
      <c r="Y50" s="30">
        <f t="shared" si="12"/>
        <v>3331.347105740791</v>
      </c>
      <c r="AA50" s="31">
        <f>W50/(W$46+W$47+W$48+W$50)</f>
        <v>8.9661014558204091E-2</v>
      </c>
    </row>
    <row r="51" spans="1:27">
      <c r="A51" t="s">
        <v>29</v>
      </c>
      <c r="B51" s="33">
        <f t="shared" ref="B51:G51" si="13">SUM(B46:B50)</f>
        <v>6069.4</v>
      </c>
      <c r="C51" s="33">
        <f t="shared" si="13"/>
        <v>6564.61</v>
      </c>
      <c r="D51" s="33">
        <f t="shared" si="13"/>
        <v>62677.14</v>
      </c>
      <c r="E51" s="33">
        <f t="shared" si="13"/>
        <v>100298.91</v>
      </c>
      <c r="F51" s="33">
        <f t="shared" si="13"/>
        <v>109638.72000000002</v>
      </c>
      <c r="G51" s="33">
        <f t="shared" si="13"/>
        <v>109638.72000000002</v>
      </c>
      <c r="K51" t="s">
        <v>21</v>
      </c>
      <c r="L51" s="33">
        <f t="shared" ref="L51:Q51" si="14">SUM(L46:L50)</f>
        <v>6069.4</v>
      </c>
      <c r="M51" s="33">
        <f t="shared" si="14"/>
        <v>6510.6170482684774</v>
      </c>
      <c r="N51" s="33">
        <f t="shared" si="14"/>
        <v>56960.099291232473</v>
      </c>
      <c r="O51" s="33">
        <f t="shared" si="14"/>
        <v>90549.069000000003</v>
      </c>
      <c r="P51" s="33">
        <f t="shared" si="14"/>
        <v>90549.069000000003</v>
      </c>
      <c r="Q51" s="33">
        <f t="shared" si="14"/>
        <v>90549.069000000003</v>
      </c>
      <c r="S51" t="s">
        <v>21</v>
      </c>
      <c r="T51" s="33">
        <f t="shared" ref="T51:Y51" si="15">SUM(T46:T50)</f>
        <v>13261.399999999992</v>
      </c>
      <c r="U51" s="33">
        <f t="shared" si="15"/>
        <v>13702.617048268472</v>
      </c>
      <c r="V51" s="33">
        <f t="shared" si="15"/>
        <v>64152.099291232465</v>
      </c>
      <c r="W51" s="33">
        <f t="shared" si="15"/>
        <v>97741.068999999989</v>
      </c>
      <c r="X51" s="33">
        <f t="shared" si="15"/>
        <v>97741.068999999989</v>
      </c>
      <c r="Y51" s="33">
        <f t="shared" si="15"/>
        <v>97741.068999999989</v>
      </c>
    </row>
    <row r="52" spans="1:27">
      <c r="A52" t="s">
        <v>60</v>
      </c>
      <c r="B52" s="32">
        <f t="shared" ref="B52:G52" si="16">B51-B49</f>
        <v>3268.8999999999996</v>
      </c>
      <c r="C52" s="32">
        <f t="shared" si="16"/>
        <v>3764.1099999999997</v>
      </c>
      <c r="D52" s="32">
        <f t="shared" si="16"/>
        <v>9499.6999999999971</v>
      </c>
      <c r="E52" s="32">
        <f t="shared" si="16"/>
        <v>39467.68</v>
      </c>
      <c r="F52" s="32">
        <f t="shared" si="16"/>
        <v>39467.680000000008</v>
      </c>
      <c r="G52" s="32">
        <f t="shared" si="16"/>
        <v>39467.680000000008</v>
      </c>
      <c r="K52" t="s">
        <v>60</v>
      </c>
      <c r="L52" s="32">
        <f t="shared" ref="L52:Q52" si="17">L51-L49</f>
        <v>3268.8999999999996</v>
      </c>
      <c r="M52" s="32">
        <f t="shared" si="17"/>
        <v>3710.1170482684774</v>
      </c>
      <c r="N52" s="32">
        <f t="shared" si="17"/>
        <v>8820.3532912324663</v>
      </c>
      <c r="O52" s="32">
        <f t="shared" si="17"/>
        <v>35520.911999999997</v>
      </c>
      <c r="P52" s="32">
        <f t="shared" si="17"/>
        <v>35520.911999999997</v>
      </c>
      <c r="Q52" s="32">
        <f t="shared" si="17"/>
        <v>35520.911999999997</v>
      </c>
    </row>
    <row r="53" spans="1:27" ht="64.5">
      <c r="A53" s="2" t="s">
        <v>9</v>
      </c>
      <c r="B53" s="3" t="s">
        <v>10</v>
      </c>
      <c r="C53" s="3" t="s">
        <v>11</v>
      </c>
      <c r="D53" s="3" t="s">
        <v>12</v>
      </c>
      <c r="E53" s="3" t="s">
        <v>13</v>
      </c>
      <c r="K53" t="s">
        <v>41</v>
      </c>
      <c r="U53" s="51"/>
      <c r="V53" s="61"/>
      <c r="W53" s="61"/>
      <c r="X53" s="51"/>
      <c r="Y53" s="62"/>
      <c r="Z53" s="62"/>
    </row>
    <row r="54" spans="1:27">
      <c r="A54" s="4" t="s">
        <v>0</v>
      </c>
      <c r="B54" s="5">
        <v>102337</v>
      </c>
      <c r="C54" s="6">
        <v>0.29399999999999998</v>
      </c>
      <c r="D54" s="7">
        <v>16</v>
      </c>
      <c r="E54" s="11">
        <v>0.33100000000000002</v>
      </c>
      <c r="F54" s="27">
        <f>(B54+D54)/($B$59+$D$59)</f>
        <v>0.35510260724755843</v>
      </c>
      <c r="L54">
        <v>2015</v>
      </c>
      <c r="M54">
        <v>2020</v>
      </c>
      <c r="N54">
        <v>2025</v>
      </c>
      <c r="O54">
        <v>2030</v>
      </c>
      <c r="P54">
        <v>2035</v>
      </c>
      <c r="Q54">
        <v>2040</v>
      </c>
      <c r="U54" s="51"/>
      <c r="V54" s="51"/>
      <c r="W54" s="51"/>
      <c r="X54" s="51"/>
      <c r="Y54" s="51"/>
      <c r="Z54" s="51"/>
    </row>
    <row r="55" spans="1:27">
      <c r="A55" s="8" t="s">
        <v>1</v>
      </c>
      <c r="B55" s="9">
        <v>56833</v>
      </c>
      <c r="C55" s="6">
        <v>0.27</v>
      </c>
      <c r="D55" s="7">
        <v>632</v>
      </c>
      <c r="E55" s="12">
        <v>0.30499999999999999</v>
      </c>
      <c r="F55" s="27">
        <f>(B55+D55)/($B$59+$D$59)</f>
        <v>0.19936857078425591</v>
      </c>
      <c r="K55" t="s">
        <v>0</v>
      </c>
      <c r="L55" s="38">
        <f t="shared" ref="L55:O59" si="18">IF(T46&lt;$D54,L35,IF((T46-L35)&gt;$D54,0,$D54-(T46-L35)))</f>
        <v>0</v>
      </c>
      <c r="M55" s="38">
        <f t="shared" si="18"/>
        <v>0</v>
      </c>
      <c r="N55" s="38">
        <f t="shared" si="18"/>
        <v>0</v>
      </c>
      <c r="O55" s="38">
        <f t="shared" si="18"/>
        <v>0</v>
      </c>
      <c r="P55" s="38">
        <f>MIN(P35,$D54-SUM($L55:O55))</f>
        <v>0</v>
      </c>
      <c r="Q55" s="38">
        <f>MIN(Q35,$D54-SUM($L55:P55))</f>
        <v>0</v>
      </c>
      <c r="U55" s="51"/>
      <c r="V55" s="63"/>
      <c r="W55" s="63"/>
      <c r="X55" s="63"/>
      <c r="Y55" s="63"/>
      <c r="Z55" s="63"/>
    </row>
    <row r="56" spans="1:27">
      <c r="A56" s="8" t="s">
        <v>8</v>
      </c>
      <c r="B56" s="9">
        <v>105738</v>
      </c>
      <c r="C56" s="6">
        <v>0.311</v>
      </c>
      <c r="D56" s="7">
        <v>5867</v>
      </c>
      <c r="E56" s="12">
        <v>0.35</v>
      </c>
      <c r="F56" s="27">
        <f>(B56+D56)/($B$59+$D$59)</f>
        <v>0.38720141551164849</v>
      </c>
      <c r="K56" t="s">
        <v>1</v>
      </c>
      <c r="L56" s="38">
        <f t="shared" si="18"/>
        <v>471</v>
      </c>
      <c r="M56" s="38">
        <f t="shared" si="18"/>
        <v>0</v>
      </c>
      <c r="N56" s="38">
        <f t="shared" si="18"/>
        <v>0</v>
      </c>
      <c r="O56" s="38">
        <f t="shared" si="18"/>
        <v>0</v>
      </c>
      <c r="P56" s="38">
        <f>MIN(P36,$D55-SUM($L56:O56))</f>
        <v>0</v>
      </c>
      <c r="Q56" s="38">
        <f>MIN(Q36,$D55-SUM($L56:P56))</f>
        <v>0</v>
      </c>
      <c r="U56" s="51"/>
      <c r="V56" s="63"/>
      <c r="W56" s="63"/>
      <c r="X56" s="63"/>
      <c r="Y56" s="63"/>
      <c r="Z56" s="63"/>
    </row>
    <row r="57" spans="1:27">
      <c r="A57" s="8" t="s">
        <v>3</v>
      </c>
      <c r="B57" s="5">
        <v>775035</v>
      </c>
      <c r="C57" s="6">
        <v>0.317</v>
      </c>
      <c r="D57" s="7">
        <v>1199936</v>
      </c>
      <c r="E57" s="11">
        <v>0.377</v>
      </c>
      <c r="F57" s="27"/>
      <c r="K57" t="s">
        <v>2</v>
      </c>
      <c r="L57" s="38">
        <f t="shared" si="18"/>
        <v>300</v>
      </c>
      <c r="M57" s="38">
        <f t="shared" si="18"/>
        <v>173.99649402712495</v>
      </c>
      <c r="N57" s="38">
        <f t="shared" si="18"/>
        <v>2015.2512089356799</v>
      </c>
      <c r="O57" s="38">
        <f t="shared" si="18"/>
        <v>2999.7522970371956</v>
      </c>
      <c r="P57" s="38">
        <f>MIN(P37,$D56-SUM($L57:O57))</f>
        <v>0</v>
      </c>
      <c r="Q57" s="38">
        <f>MIN(Q37,$D56-SUM($L57:P57))</f>
        <v>0</v>
      </c>
      <c r="U57" s="51"/>
      <c r="V57" s="63"/>
      <c r="W57" s="63"/>
      <c r="X57" s="63"/>
      <c r="Y57" s="63"/>
      <c r="Z57" s="63"/>
    </row>
    <row r="58" spans="1:27">
      <c r="A58" s="10" t="s">
        <v>4</v>
      </c>
      <c r="B58" s="9">
        <v>16528</v>
      </c>
      <c r="C58" s="6">
        <v>0.28399999999999997</v>
      </c>
      <c r="D58" s="7">
        <v>284</v>
      </c>
      <c r="E58" s="12">
        <v>0.32600000000000001</v>
      </c>
      <c r="F58" s="27">
        <f>(B58+D58)/($B$59+$D$59)</f>
        <v>5.8327406456537202E-2</v>
      </c>
      <c r="K58" t="s">
        <v>3</v>
      </c>
      <c r="L58" s="38">
        <f t="shared" si="18"/>
        <v>2800.5</v>
      </c>
      <c r="M58" s="38">
        <f t="shared" si="18"/>
        <v>0</v>
      </c>
      <c r="N58" s="38">
        <f t="shared" si="18"/>
        <v>45339.246000000006</v>
      </c>
      <c r="O58" s="38">
        <f t="shared" si="18"/>
        <v>6888.4110000000001</v>
      </c>
      <c r="P58" s="38">
        <f>MIN(P38,$D57-SUM($L58:O58))</f>
        <v>0</v>
      </c>
      <c r="Q58" s="38">
        <f>MIN(Q38,$D57-SUM($L58:P58))</f>
        <v>0</v>
      </c>
      <c r="U58" s="51"/>
      <c r="V58" s="63"/>
      <c r="W58" s="63"/>
      <c r="X58" s="63"/>
      <c r="Y58" s="63"/>
      <c r="Z58" s="63"/>
    </row>
    <row r="59" spans="1:27">
      <c r="B59" s="41">
        <f>B54+B55+B56+B58</f>
        <v>281436</v>
      </c>
      <c r="D59" s="30">
        <f>D54+D55+D56+D58</f>
        <v>6799</v>
      </c>
      <c r="K59" t="s">
        <v>4</v>
      </c>
      <c r="L59" s="38">
        <f t="shared" si="18"/>
        <v>0</v>
      </c>
      <c r="M59" s="38">
        <f t="shared" si="18"/>
        <v>0</v>
      </c>
      <c r="N59" s="38">
        <f t="shared" si="18"/>
        <v>0</v>
      </c>
      <c r="O59" s="38">
        <f t="shared" si="18"/>
        <v>0</v>
      </c>
      <c r="P59" s="38">
        <f>MIN(P39,$D58-SUM($L59:O59))</f>
        <v>0</v>
      </c>
      <c r="Q59" s="38">
        <f>MIN(Q39,$D58-SUM($L59:P59))</f>
        <v>0</v>
      </c>
      <c r="U59" s="51"/>
      <c r="V59" s="63"/>
      <c r="W59" s="63"/>
      <c r="X59" s="63"/>
      <c r="Y59" s="63"/>
      <c r="Z59" s="63"/>
    </row>
    <row r="60" spans="1:27">
      <c r="K60" t="s">
        <v>21</v>
      </c>
      <c r="L60" s="33">
        <f t="shared" ref="L60:Q60" si="19">SUM(L55:L59)</f>
        <v>3571.5</v>
      </c>
      <c r="M60" s="33">
        <f t="shared" si="19"/>
        <v>173.99649402712495</v>
      </c>
      <c r="N60" s="33">
        <f t="shared" si="19"/>
        <v>47354.497208935689</v>
      </c>
      <c r="O60" s="33">
        <f t="shared" si="19"/>
        <v>9888.1632970371957</v>
      </c>
      <c r="P60" s="33">
        <f t="shared" si="19"/>
        <v>0</v>
      </c>
      <c r="Q60" s="33">
        <f t="shared" si="19"/>
        <v>0</v>
      </c>
      <c r="U60" s="51"/>
      <c r="V60" s="39"/>
      <c r="W60" s="39"/>
      <c r="X60" s="63"/>
      <c r="Y60" s="39"/>
      <c r="Z60" s="63"/>
    </row>
    <row r="61" spans="1:27">
      <c r="U61" s="51"/>
      <c r="V61" s="64"/>
      <c r="W61" s="64"/>
      <c r="X61" s="63"/>
      <c r="Y61" s="64"/>
      <c r="Z61" s="63"/>
    </row>
    <row r="62" spans="1:27">
      <c r="K62" t="s">
        <v>42</v>
      </c>
      <c r="U62" s="51"/>
      <c r="V62" s="51"/>
      <c r="W62" s="51"/>
      <c r="X62" s="51"/>
      <c r="Y62" s="51"/>
      <c r="Z62" s="51"/>
    </row>
    <row r="63" spans="1:27">
      <c r="L63">
        <v>2015</v>
      </c>
      <c r="M63">
        <v>2020</v>
      </c>
      <c r="N63">
        <v>2025</v>
      </c>
      <c r="O63">
        <v>2030</v>
      </c>
      <c r="P63">
        <v>2035</v>
      </c>
      <c r="Q63">
        <v>2040</v>
      </c>
      <c r="U63" s="51"/>
      <c r="V63" s="51"/>
      <c r="W63" s="51"/>
      <c r="X63" s="51"/>
      <c r="Y63" s="51"/>
      <c r="Z63" s="51"/>
    </row>
    <row r="64" spans="1:27">
      <c r="K64" t="s">
        <v>0</v>
      </c>
      <c r="L64" s="1">
        <f>SUM($L55:L55)</f>
        <v>0</v>
      </c>
      <c r="M64" s="1">
        <f>SUM($L55:M55)</f>
        <v>0</v>
      </c>
      <c r="N64" s="1">
        <f>SUM($L55:N55)</f>
        <v>0</v>
      </c>
      <c r="O64" s="1">
        <f>SUM($L55:O55)</f>
        <v>0</v>
      </c>
      <c r="P64" s="1">
        <f>SUM($L55:P55)</f>
        <v>0</v>
      </c>
      <c r="Q64" s="1">
        <f>SUM($L55:Q55)</f>
        <v>0</v>
      </c>
      <c r="U64" s="51"/>
      <c r="V64" s="61"/>
      <c r="W64" s="61"/>
      <c r="X64" s="51"/>
      <c r="Y64" s="62"/>
      <c r="Z64" s="62"/>
    </row>
    <row r="65" spans="11:26">
      <c r="K65" t="s">
        <v>1</v>
      </c>
      <c r="L65" s="1">
        <f>SUM($L56:L56)</f>
        <v>471</v>
      </c>
      <c r="M65" s="1">
        <f>SUM($L56:M56)</f>
        <v>471</v>
      </c>
      <c r="N65" s="1">
        <f>SUM($L56:N56)</f>
        <v>471</v>
      </c>
      <c r="O65" s="1">
        <f>SUM($L56:O56)</f>
        <v>471</v>
      </c>
      <c r="P65" s="1">
        <f>SUM($L56:P56)</f>
        <v>471</v>
      </c>
      <c r="Q65" s="1">
        <f>SUM($L56:Q56)</f>
        <v>471</v>
      </c>
      <c r="U65" s="51"/>
      <c r="V65" s="51"/>
      <c r="W65" s="51"/>
      <c r="X65" s="51"/>
      <c r="Y65" s="51"/>
      <c r="Z65" s="51"/>
    </row>
    <row r="66" spans="11:26">
      <c r="K66" t="s">
        <v>2</v>
      </c>
      <c r="L66" s="1">
        <f>SUM($L57:L57)</f>
        <v>300</v>
      </c>
      <c r="M66" s="1">
        <f>SUM($L57:M57)</f>
        <v>473.99649402712498</v>
      </c>
      <c r="N66" s="1">
        <f>SUM($L57:N57)</f>
        <v>2489.2477029628049</v>
      </c>
      <c r="O66" s="1">
        <f>SUM($L57:O57)</f>
        <v>5489</v>
      </c>
      <c r="P66" s="1">
        <f>SUM($L57:P57)</f>
        <v>5489</v>
      </c>
      <c r="Q66" s="1">
        <f>SUM($L57:Q57)</f>
        <v>5489</v>
      </c>
      <c r="U66" s="51"/>
      <c r="V66" s="63"/>
      <c r="W66" s="63"/>
      <c r="X66" s="63"/>
      <c r="Y66" s="63"/>
      <c r="Z66" s="63"/>
    </row>
    <row r="67" spans="11:26">
      <c r="K67" t="s">
        <v>3</v>
      </c>
      <c r="L67" s="1">
        <f>SUM($L58:L58)</f>
        <v>2800.5</v>
      </c>
      <c r="M67" s="1">
        <f>SUM($L58:M58)</f>
        <v>2800.5</v>
      </c>
      <c r="N67" s="1">
        <f>SUM($L58:N58)</f>
        <v>48139.746000000006</v>
      </c>
      <c r="O67" s="1">
        <f>SUM($L58:O58)</f>
        <v>55028.157000000007</v>
      </c>
      <c r="P67" s="1">
        <f>SUM($L58:P58)</f>
        <v>55028.157000000007</v>
      </c>
      <c r="Q67" s="1">
        <f>SUM($L58:Q58)</f>
        <v>55028.157000000007</v>
      </c>
      <c r="U67" s="51"/>
      <c r="V67" s="63"/>
      <c r="W67" s="63"/>
      <c r="X67" s="63"/>
      <c r="Y67" s="63"/>
      <c r="Z67" s="63"/>
    </row>
    <row r="68" spans="11:26">
      <c r="K68" t="s">
        <v>4</v>
      </c>
      <c r="L68" s="1">
        <f>SUM($L59:L59)</f>
        <v>0</v>
      </c>
      <c r="M68" s="1">
        <f>SUM($L59:M59)</f>
        <v>0</v>
      </c>
      <c r="N68" s="1">
        <f>SUM($L59:N59)</f>
        <v>0</v>
      </c>
      <c r="O68" s="1">
        <f>SUM($L59:O59)</f>
        <v>0</v>
      </c>
      <c r="P68" s="1">
        <f>SUM($L59:P59)</f>
        <v>0</v>
      </c>
      <c r="Q68" s="1">
        <f>SUM($L59:Q59)</f>
        <v>0</v>
      </c>
      <c r="U68" s="51"/>
      <c r="V68" s="63"/>
      <c r="W68" s="63"/>
      <c r="X68" s="63"/>
      <c r="Y68" s="63"/>
      <c r="Z68" s="63"/>
    </row>
    <row r="69" spans="11:26">
      <c r="K69" t="s">
        <v>21</v>
      </c>
      <c r="L69" s="33">
        <f t="shared" ref="L69:Q69" si="20">SUM(L64:L68)</f>
        <v>3571.5</v>
      </c>
      <c r="M69" s="33">
        <f t="shared" si="20"/>
        <v>3745.4964940271248</v>
      </c>
      <c r="N69" s="33">
        <f t="shared" si="20"/>
        <v>51099.993702962813</v>
      </c>
      <c r="O69" s="33">
        <f t="shared" si="20"/>
        <v>60988.157000000007</v>
      </c>
      <c r="P69" s="33">
        <f t="shared" si="20"/>
        <v>60988.157000000007</v>
      </c>
      <c r="Q69" s="33">
        <f t="shared" si="20"/>
        <v>60988.157000000007</v>
      </c>
      <c r="U69" s="51"/>
      <c r="V69" s="63"/>
      <c r="W69" s="63"/>
      <c r="X69" s="63"/>
      <c r="Y69" s="63"/>
      <c r="Z69" s="63"/>
    </row>
    <row r="70" spans="11:26">
      <c r="U70" s="51"/>
      <c r="V70" s="63"/>
      <c r="W70" s="63"/>
      <c r="X70" s="63"/>
      <c r="Y70" s="63"/>
      <c r="Z70" s="63"/>
    </row>
    <row r="71" spans="11:26">
      <c r="K71" t="s">
        <v>43</v>
      </c>
      <c r="U71" s="51"/>
      <c r="V71" s="39"/>
      <c r="W71" s="39"/>
      <c r="X71" s="63"/>
      <c r="Y71" s="39"/>
      <c r="Z71" s="63"/>
    </row>
    <row r="72" spans="11:26">
      <c r="L72">
        <v>2015</v>
      </c>
      <c r="M72">
        <v>2020</v>
      </c>
      <c r="N72">
        <v>2025</v>
      </c>
      <c r="O72">
        <v>2030</v>
      </c>
      <c r="P72">
        <v>2035</v>
      </c>
      <c r="Q72">
        <v>2040</v>
      </c>
      <c r="U72" s="51"/>
      <c r="V72" s="64"/>
      <c r="W72" s="64"/>
      <c r="X72" s="63"/>
      <c r="Y72" s="64"/>
      <c r="Z72" s="63"/>
    </row>
    <row r="73" spans="11:26">
      <c r="K73" t="s">
        <v>0</v>
      </c>
      <c r="L73" s="38">
        <f t="shared" ref="L73:Q77" si="21">L35-L55</f>
        <v>0</v>
      </c>
      <c r="M73" s="38">
        <f t="shared" si="21"/>
        <v>148.19380160267355</v>
      </c>
      <c r="N73" s="38">
        <f t="shared" si="21"/>
        <v>1716.4008936295284</v>
      </c>
      <c r="O73" s="38">
        <f t="shared" si="21"/>
        <v>8968.0517003955647</v>
      </c>
      <c r="P73" s="38">
        <f t="shared" si="21"/>
        <v>0</v>
      </c>
      <c r="Q73" s="38">
        <f t="shared" si="21"/>
        <v>0</v>
      </c>
    </row>
    <row r="74" spans="11:26">
      <c r="K74" t="s">
        <v>1</v>
      </c>
      <c r="L74" s="38">
        <f t="shared" si="21"/>
        <v>1529</v>
      </c>
      <c r="M74" s="38">
        <f t="shared" si="21"/>
        <v>94.368743964522125</v>
      </c>
      <c r="N74" s="38">
        <f t="shared" si="21"/>
        <v>1092.9917089628111</v>
      </c>
      <c r="O74" s="38">
        <f t="shared" si="21"/>
        <v>5710.790637818136</v>
      </c>
      <c r="P74" s="38">
        <f t="shared" si="21"/>
        <v>0</v>
      </c>
      <c r="Q74" s="38">
        <f t="shared" si="21"/>
        <v>0</v>
      </c>
    </row>
    <row r="75" spans="11:26">
      <c r="K75" t="s">
        <v>2</v>
      </c>
      <c r="L75" s="38">
        <f t="shared" si="21"/>
        <v>0</v>
      </c>
      <c r="M75" s="38">
        <f t="shared" si="21"/>
        <v>0</v>
      </c>
      <c r="N75" s="38">
        <f t="shared" si="21"/>
        <v>0</v>
      </c>
      <c r="O75" s="38">
        <f t="shared" si="21"/>
        <v>7529.7674078859654</v>
      </c>
      <c r="P75" s="38">
        <f t="shared" si="21"/>
        <v>0</v>
      </c>
      <c r="Q75" s="38">
        <f t="shared" si="21"/>
        <v>0</v>
      </c>
    </row>
    <row r="76" spans="11:26">
      <c r="K76" t="s">
        <v>3</v>
      </c>
      <c r="L76" s="38">
        <f t="shared" si="21"/>
        <v>0</v>
      </c>
      <c r="M76" s="38">
        <f t="shared" si="21"/>
        <v>0</v>
      </c>
      <c r="N76" s="38">
        <f t="shared" si="21"/>
        <v>0</v>
      </c>
      <c r="O76" s="38">
        <f t="shared" si="21"/>
        <v>0</v>
      </c>
      <c r="P76" s="38">
        <f t="shared" si="21"/>
        <v>0</v>
      </c>
      <c r="Q76" s="38">
        <f t="shared" si="21"/>
        <v>0</v>
      </c>
    </row>
    <row r="77" spans="11:26">
      <c r="K77" t="s">
        <v>4</v>
      </c>
      <c r="L77" s="38">
        <f t="shared" si="21"/>
        <v>968.9</v>
      </c>
      <c r="M77" s="38">
        <f t="shared" si="21"/>
        <v>24.658008674156893</v>
      </c>
      <c r="N77" s="38">
        <f t="shared" si="21"/>
        <v>285.59243143597183</v>
      </c>
      <c r="O77" s="38">
        <f t="shared" si="21"/>
        <v>1492.1966656306622</v>
      </c>
      <c r="P77" s="38">
        <f t="shared" si="21"/>
        <v>0</v>
      </c>
      <c r="Q77" s="38">
        <f t="shared" si="21"/>
        <v>0</v>
      </c>
    </row>
    <row r="78" spans="11:26">
      <c r="K78" t="s">
        <v>21</v>
      </c>
      <c r="L78" s="33">
        <f t="shared" ref="L78:Q78" si="22">SUM(L73:L77)</f>
        <v>2497.9</v>
      </c>
      <c r="M78" s="33">
        <f t="shared" si="22"/>
        <v>267.2205542413526</v>
      </c>
      <c r="N78" s="33">
        <f t="shared" si="22"/>
        <v>3094.985034028311</v>
      </c>
      <c r="O78" s="33">
        <f t="shared" si="22"/>
        <v>23700.806411730329</v>
      </c>
      <c r="P78" s="33">
        <f t="shared" si="22"/>
        <v>0</v>
      </c>
      <c r="Q78" s="33">
        <f t="shared" si="22"/>
        <v>0</v>
      </c>
    </row>
    <row r="80" spans="11:26">
      <c r="K80" t="s">
        <v>44</v>
      </c>
    </row>
    <row r="81" spans="11:17">
      <c r="L81">
        <v>2015</v>
      </c>
      <c r="M81">
        <v>2020</v>
      </c>
      <c r="N81">
        <v>2025</v>
      </c>
      <c r="O81">
        <v>2030</v>
      </c>
      <c r="P81">
        <v>2035</v>
      </c>
      <c r="Q81">
        <v>2040</v>
      </c>
    </row>
    <row r="82" spans="11:17">
      <c r="K82" t="s">
        <v>0</v>
      </c>
      <c r="L82" s="1">
        <f>SUM($L73:L73)</f>
        <v>0</v>
      </c>
      <c r="M82" s="1">
        <f>SUM($L73:M73)</f>
        <v>148.19380160267355</v>
      </c>
      <c r="N82" s="1">
        <f>SUM($L73:N73)</f>
        <v>1864.594695232202</v>
      </c>
      <c r="O82" s="1">
        <f>SUM($L73:O73)</f>
        <v>10832.646395627766</v>
      </c>
      <c r="P82" s="1">
        <f>SUM($L73:P73)</f>
        <v>10832.646395627766</v>
      </c>
      <c r="Q82" s="1">
        <f>SUM($L73:Q73)</f>
        <v>10832.646395627766</v>
      </c>
    </row>
    <row r="83" spans="11:17">
      <c r="K83" t="s">
        <v>1</v>
      </c>
      <c r="L83" s="1">
        <f>SUM($L74:L74)</f>
        <v>1529</v>
      </c>
      <c r="M83" s="1">
        <f>SUM($L74:M74)</f>
        <v>1623.3687439645221</v>
      </c>
      <c r="N83" s="1">
        <f>SUM($L74:N74)</f>
        <v>2716.3604529273334</v>
      </c>
      <c r="O83" s="1">
        <f>SUM($L74:O74)</f>
        <v>8427.1510907454685</v>
      </c>
      <c r="P83" s="1">
        <f>SUM($L74:P74)</f>
        <v>8427.1510907454685</v>
      </c>
      <c r="Q83" s="1">
        <f>SUM($L74:Q74)</f>
        <v>8427.1510907454685</v>
      </c>
    </row>
    <row r="84" spans="11:17">
      <c r="K84" t="s">
        <v>2</v>
      </c>
      <c r="L84" s="1">
        <f>SUM($L75:L75)</f>
        <v>0</v>
      </c>
      <c r="M84" s="1">
        <f>SUM($L75:M75)</f>
        <v>0</v>
      </c>
      <c r="N84" s="1">
        <f>SUM($L75:N75)</f>
        <v>0</v>
      </c>
      <c r="O84" s="1">
        <f>SUM($L75:O75)</f>
        <v>7529.7674078859654</v>
      </c>
      <c r="P84" s="1">
        <f>SUM($L75:P75)</f>
        <v>7529.7674078859654</v>
      </c>
      <c r="Q84" s="1">
        <f>SUM($L75:Q75)</f>
        <v>7529.7674078859654</v>
      </c>
    </row>
    <row r="85" spans="11:17">
      <c r="K85" t="s">
        <v>3</v>
      </c>
      <c r="L85" s="1">
        <f>SUM($L76:L76)</f>
        <v>0</v>
      </c>
      <c r="M85" s="1">
        <f>SUM($L76:M76)</f>
        <v>0</v>
      </c>
      <c r="N85" s="1">
        <f>SUM($L76:N76)</f>
        <v>0</v>
      </c>
      <c r="O85" s="1">
        <f>SUM($L76:O76)</f>
        <v>0</v>
      </c>
      <c r="P85" s="1">
        <f>SUM($L76:P76)</f>
        <v>0</v>
      </c>
      <c r="Q85" s="1">
        <f>SUM($L76:Q76)</f>
        <v>0</v>
      </c>
    </row>
    <row r="86" spans="11:17">
      <c r="K86" t="s">
        <v>4</v>
      </c>
      <c r="L86" s="1">
        <f>SUM($L77:L77)</f>
        <v>968.9</v>
      </c>
      <c r="M86" s="1">
        <f>SUM($L77:M77)</f>
        <v>993.55800867415689</v>
      </c>
      <c r="N86" s="1">
        <f>SUM($L77:N77)</f>
        <v>1279.1504401101288</v>
      </c>
      <c r="O86" s="1">
        <f>SUM($L77:O77)</f>
        <v>2771.347105740791</v>
      </c>
      <c r="P86" s="1">
        <f>SUM($L77:P77)</f>
        <v>2771.347105740791</v>
      </c>
      <c r="Q86" s="1">
        <f>SUM($L77:Q77)</f>
        <v>2771.347105740791</v>
      </c>
    </row>
    <row r="87" spans="11:17">
      <c r="K87" t="s">
        <v>21</v>
      </c>
      <c r="L87" s="33">
        <f t="shared" ref="L87:Q87" si="23">SUM(L82:L86)</f>
        <v>2497.9</v>
      </c>
      <c r="M87" s="33">
        <f t="shared" si="23"/>
        <v>2765.1205542413527</v>
      </c>
      <c r="N87" s="33">
        <f t="shared" si="23"/>
        <v>5860.1055882696637</v>
      </c>
      <c r="O87" s="33">
        <f t="shared" si="23"/>
        <v>29560.911999999993</v>
      </c>
      <c r="P87" s="33">
        <f t="shared" si="23"/>
        <v>29560.911999999993</v>
      </c>
      <c r="Q87" s="33">
        <f t="shared" si="23"/>
        <v>29560.911999999993</v>
      </c>
    </row>
  </sheetData>
  <mergeCells count="3">
    <mergeCell ref="H32:H34"/>
    <mergeCell ref="I32:I34"/>
    <mergeCell ref="J32:J34"/>
  </mergeCells>
  <phoneticPr fontId="8" type="noConversion"/>
  <pageMargins left="0.75" right="0.75" top="1" bottom="1" header="0.5" footer="0.5"/>
  <pageSetup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86"/>
  <sheetViews>
    <sheetView zoomScale="75" workbookViewId="0">
      <selection activeCell="J18" sqref="J18"/>
    </sheetView>
  </sheetViews>
  <sheetFormatPr defaultRowHeight="15.75"/>
  <sheetData>
    <row r="1" spans="1:17">
      <c r="A1" s="65" t="s">
        <v>111</v>
      </c>
      <c r="B1" s="65"/>
      <c r="C1" s="65"/>
      <c r="D1" s="65"/>
      <c r="E1" s="65"/>
      <c r="F1" s="65"/>
      <c r="G1" s="65"/>
      <c r="H1" s="65"/>
    </row>
    <row r="2" spans="1:17">
      <c r="A2" s="67"/>
      <c r="B2" s="68" t="s">
        <v>92</v>
      </c>
      <c r="C2" s="68"/>
      <c r="D2" s="68"/>
      <c r="E2" s="68"/>
      <c r="F2" s="68"/>
      <c r="G2" s="68"/>
      <c r="H2" s="66"/>
    </row>
    <row r="3" spans="1:17">
      <c r="A3" s="67"/>
      <c r="B3" s="68" t="s">
        <v>90</v>
      </c>
      <c r="C3" s="68" t="s">
        <v>91</v>
      </c>
      <c r="D3" s="68" t="s">
        <v>93</v>
      </c>
      <c r="E3" s="68" t="s">
        <v>94</v>
      </c>
      <c r="F3" s="68" t="s">
        <v>110</v>
      </c>
      <c r="G3" s="68"/>
      <c r="H3" s="66"/>
    </row>
    <row r="4" spans="1:17">
      <c r="A4" s="67" t="s">
        <v>71</v>
      </c>
      <c r="B4" s="69">
        <v>0</v>
      </c>
      <c r="C4" s="69">
        <v>100</v>
      </c>
      <c r="D4" s="70">
        <f>B4-C4</f>
        <v>-100</v>
      </c>
      <c r="E4" s="71" t="str">
        <f>IF(B4=0,"NA",1-D4/B4)</f>
        <v>NA</v>
      </c>
      <c r="F4" s="68" t="str">
        <f>IF(E4="NA","",IF(E4&lt;0.9,"adjust",""))</f>
        <v/>
      </c>
      <c r="G4" s="68"/>
      <c r="H4" s="66"/>
    </row>
    <row r="5" spans="1:17">
      <c r="A5" s="67" t="s">
        <v>72</v>
      </c>
      <c r="B5" s="69">
        <v>0</v>
      </c>
      <c r="C5" s="69">
        <v>0</v>
      </c>
      <c r="D5" s="70">
        <f t="shared" ref="D5:D28" si="0">B5-C5</f>
        <v>0</v>
      </c>
      <c r="E5" s="71" t="str">
        <f t="shared" ref="E5:E28" si="1">IF(B5=0,"NA",1-D5/B5)</f>
        <v>NA</v>
      </c>
      <c r="F5" s="68" t="str">
        <f t="shared" ref="F5:F28" si="2">IF(E5="NA","",IF(E5&lt;0.9,"adjust",""))</f>
        <v/>
      </c>
      <c r="G5" s="68"/>
      <c r="H5" s="66"/>
      <c r="Q5" t="s">
        <v>98</v>
      </c>
    </row>
    <row r="6" spans="1:17">
      <c r="A6" s="67" t="s">
        <v>73</v>
      </c>
      <c r="B6" s="69">
        <v>2105.9</v>
      </c>
      <c r="C6" s="69">
        <v>2105.9</v>
      </c>
      <c r="D6" s="70">
        <f t="shared" si="0"/>
        <v>0</v>
      </c>
      <c r="E6" s="71">
        <f t="shared" si="1"/>
        <v>1</v>
      </c>
      <c r="F6" s="68" t="str">
        <f t="shared" si="2"/>
        <v/>
      </c>
      <c r="G6" s="68"/>
      <c r="H6" s="66"/>
    </row>
    <row r="7" spans="1:17">
      <c r="A7" s="67" t="s">
        <v>74</v>
      </c>
      <c r="B7" s="69">
        <v>302.39999999999998</v>
      </c>
      <c r="C7" s="69">
        <v>302.39999999999998</v>
      </c>
      <c r="D7" s="70">
        <f t="shared" si="0"/>
        <v>0</v>
      </c>
      <c r="E7" s="71">
        <f t="shared" si="1"/>
        <v>1</v>
      </c>
      <c r="F7" s="68" t="str">
        <f t="shared" si="2"/>
        <v/>
      </c>
      <c r="G7" s="68"/>
      <c r="H7" s="66"/>
    </row>
    <row r="8" spans="1:17">
      <c r="A8" s="72" t="s">
        <v>75</v>
      </c>
      <c r="B8" s="69">
        <v>9551.81</v>
      </c>
      <c r="C8" s="69">
        <v>8221.3700000000008</v>
      </c>
      <c r="D8" s="70">
        <f t="shared" si="0"/>
        <v>1330.4399999999987</v>
      </c>
      <c r="E8" s="71">
        <f t="shared" si="1"/>
        <v>0.86071330983342431</v>
      </c>
      <c r="F8" s="68" t="str">
        <f t="shared" si="2"/>
        <v>adjust</v>
      </c>
      <c r="G8" s="68"/>
      <c r="H8" s="66"/>
    </row>
    <row r="9" spans="1:17">
      <c r="A9" s="67" t="s">
        <v>0</v>
      </c>
      <c r="B9" s="69">
        <v>29432.18</v>
      </c>
      <c r="C9" s="69">
        <v>26055.95</v>
      </c>
      <c r="D9" s="70">
        <f t="shared" si="0"/>
        <v>3376.2299999999996</v>
      </c>
      <c r="E9" s="71">
        <f t="shared" si="1"/>
        <v>0.88528780402946705</v>
      </c>
      <c r="F9" s="73" t="str">
        <f t="shared" si="2"/>
        <v>adjust</v>
      </c>
      <c r="G9" s="74" t="s">
        <v>96</v>
      </c>
      <c r="H9" s="66"/>
    </row>
    <row r="10" spans="1:17">
      <c r="A10" s="74" t="s">
        <v>1</v>
      </c>
      <c r="B10" s="75">
        <v>2600</v>
      </c>
      <c r="C10" s="75">
        <v>9027.15</v>
      </c>
      <c r="D10" s="76">
        <f t="shared" si="0"/>
        <v>-6427.15</v>
      </c>
      <c r="E10" s="77">
        <f t="shared" si="1"/>
        <v>3.4719807692307691</v>
      </c>
      <c r="F10" s="74" t="str">
        <f t="shared" si="2"/>
        <v/>
      </c>
      <c r="G10" s="74" t="s">
        <v>96</v>
      </c>
      <c r="H10" s="66"/>
    </row>
    <row r="11" spans="1:17">
      <c r="A11" s="74" t="s">
        <v>2</v>
      </c>
      <c r="B11" s="75">
        <v>6016.62</v>
      </c>
      <c r="C11" s="75">
        <v>26569.39</v>
      </c>
      <c r="D11" s="76">
        <f t="shared" si="0"/>
        <v>-20552.77</v>
      </c>
      <c r="E11" s="77">
        <f t="shared" si="1"/>
        <v>4.4159993484714004</v>
      </c>
      <c r="F11" s="74" t="str">
        <f t="shared" si="2"/>
        <v/>
      </c>
      <c r="G11" s="74" t="s">
        <v>96</v>
      </c>
      <c r="H11" s="66"/>
    </row>
    <row r="12" spans="1:17">
      <c r="A12" s="78" t="s">
        <v>3</v>
      </c>
      <c r="B12" s="75">
        <v>60831.23</v>
      </c>
      <c r="C12" s="75">
        <v>44520.51</v>
      </c>
      <c r="D12" s="76">
        <f t="shared" si="0"/>
        <v>16310.720000000001</v>
      </c>
      <c r="E12" s="77">
        <f t="shared" si="1"/>
        <v>0.73186930463184785</v>
      </c>
      <c r="F12" s="74" t="str">
        <f t="shared" si="2"/>
        <v>adjust</v>
      </c>
      <c r="G12" s="74" t="s">
        <v>95</v>
      </c>
      <c r="H12" s="66"/>
    </row>
    <row r="13" spans="1:17">
      <c r="A13" s="74" t="s">
        <v>4</v>
      </c>
      <c r="B13" s="75">
        <v>1418.88</v>
      </c>
      <c r="C13" s="75">
        <v>3051.35</v>
      </c>
      <c r="D13" s="76">
        <f t="shared" si="0"/>
        <v>-1632.4699999999998</v>
      </c>
      <c r="E13" s="77">
        <f t="shared" si="1"/>
        <v>2.1505342241768153</v>
      </c>
      <c r="F13" s="74" t="str">
        <f t="shared" si="2"/>
        <v/>
      </c>
      <c r="G13" s="74" t="s">
        <v>96</v>
      </c>
      <c r="H13" s="66"/>
    </row>
    <row r="14" spans="1:17">
      <c r="A14" s="78" t="s">
        <v>76</v>
      </c>
      <c r="B14" s="75">
        <v>14870.81</v>
      </c>
      <c r="C14" s="75">
        <v>14222.1</v>
      </c>
      <c r="D14" s="76">
        <f t="shared" si="0"/>
        <v>648.70999999999913</v>
      </c>
      <c r="E14" s="77">
        <f t="shared" si="1"/>
        <v>0.95637695592909877</v>
      </c>
      <c r="F14" s="79" t="str">
        <f t="shared" si="2"/>
        <v/>
      </c>
      <c r="G14" s="74" t="s">
        <v>109</v>
      </c>
      <c r="H14" s="66"/>
    </row>
    <row r="15" spans="1:17">
      <c r="A15" s="74" t="s">
        <v>77</v>
      </c>
      <c r="B15" s="75">
        <v>5280</v>
      </c>
      <c r="C15" s="75">
        <v>5280</v>
      </c>
      <c r="D15" s="76">
        <f t="shared" si="0"/>
        <v>0</v>
      </c>
      <c r="E15" s="77">
        <f t="shared" si="1"/>
        <v>1</v>
      </c>
      <c r="F15" s="74" t="str">
        <f t="shared" si="2"/>
        <v/>
      </c>
      <c r="G15" s="74"/>
      <c r="H15" s="66"/>
    </row>
    <row r="16" spans="1:17">
      <c r="A16" s="74" t="s">
        <v>78</v>
      </c>
      <c r="B16" s="75">
        <v>0</v>
      </c>
      <c r="C16" s="75">
        <v>0</v>
      </c>
      <c r="D16" s="76">
        <f t="shared" si="0"/>
        <v>0</v>
      </c>
      <c r="E16" s="77" t="str">
        <f t="shared" si="1"/>
        <v>NA</v>
      </c>
      <c r="F16" s="74" t="str">
        <f t="shared" si="2"/>
        <v/>
      </c>
      <c r="G16" s="74"/>
      <c r="H16" s="66"/>
    </row>
    <row r="17" spans="1:17">
      <c r="A17" s="78" t="s">
        <v>79</v>
      </c>
      <c r="B17" s="75">
        <v>5856.21</v>
      </c>
      <c r="C17" s="75">
        <v>3953.01</v>
      </c>
      <c r="D17" s="76">
        <f t="shared" si="0"/>
        <v>1903.1999999999998</v>
      </c>
      <c r="E17" s="77">
        <f t="shared" si="1"/>
        <v>0.67501165429518406</v>
      </c>
      <c r="F17" s="74" t="str">
        <f t="shared" si="2"/>
        <v>adjust</v>
      </c>
      <c r="G17" s="74"/>
      <c r="H17" s="66"/>
    </row>
    <row r="18" spans="1:17">
      <c r="A18" s="74" t="s">
        <v>80</v>
      </c>
      <c r="B18" s="75">
        <v>360</v>
      </c>
      <c r="C18" s="75">
        <v>360</v>
      </c>
      <c r="D18" s="76">
        <f t="shared" si="0"/>
        <v>0</v>
      </c>
      <c r="E18" s="77">
        <f t="shared" si="1"/>
        <v>1</v>
      </c>
      <c r="F18" s="74" t="str">
        <f t="shared" si="2"/>
        <v/>
      </c>
      <c r="G18" s="74"/>
      <c r="H18" s="66"/>
    </row>
    <row r="19" spans="1:17">
      <c r="A19" s="80" t="s">
        <v>81</v>
      </c>
      <c r="B19" s="75">
        <v>0</v>
      </c>
      <c r="C19" s="75">
        <v>0</v>
      </c>
      <c r="D19" s="76">
        <f t="shared" si="0"/>
        <v>0</v>
      </c>
      <c r="E19" s="77" t="str">
        <f t="shared" si="1"/>
        <v>NA</v>
      </c>
      <c r="F19" s="74" t="str">
        <f t="shared" si="2"/>
        <v/>
      </c>
      <c r="G19" s="74"/>
      <c r="H19" s="66"/>
    </row>
    <row r="20" spans="1:17">
      <c r="A20" s="74" t="s">
        <v>82</v>
      </c>
      <c r="B20" s="75">
        <v>1150</v>
      </c>
      <c r="C20" s="75">
        <v>1150</v>
      </c>
      <c r="D20" s="76">
        <f t="shared" si="0"/>
        <v>0</v>
      </c>
      <c r="E20" s="77">
        <f t="shared" si="1"/>
        <v>1</v>
      </c>
      <c r="F20" s="74" t="str">
        <f t="shared" si="2"/>
        <v/>
      </c>
      <c r="G20" s="74"/>
      <c r="H20" s="66"/>
    </row>
    <row r="21" spans="1:17">
      <c r="A21" s="74" t="s">
        <v>83</v>
      </c>
      <c r="B21" s="75">
        <v>1230</v>
      </c>
      <c r="C21" s="75">
        <v>1230</v>
      </c>
      <c r="D21" s="76">
        <f t="shared" si="0"/>
        <v>0</v>
      </c>
      <c r="E21" s="77">
        <f t="shared" si="1"/>
        <v>1</v>
      </c>
      <c r="F21" s="74" t="str">
        <f t="shared" si="2"/>
        <v/>
      </c>
      <c r="G21" s="74"/>
      <c r="H21" s="66"/>
    </row>
    <row r="22" spans="1:17">
      <c r="A22" s="74" t="s">
        <v>84</v>
      </c>
      <c r="B22" s="75">
        <v>12771.57</v>
      </c>
      <c r="C22" s="75">
        <v>13308.3</v>
      </c>
      <c r="D22" s="76">
        <f t="shared" si="0"/>
        <v>-536.72999999999956</v>
      </c>
      <c r="E22" s="77">
        <f t="shared" si="1"/>
        <v>1.0420253735445211</v>
      </c>
      <c r="F22" s="74" t="str">
        <f t="shared" si="2"/>
        <v/>
      </c>
      <c r="G22" s="74"/>
      <c r="H22" s="66"/>
    </row>
    <row r="23" spans="1:17">
      <c r="A23" s="74" t="s">
        <v>85</v>
      </c>
      <c r="B23" s="75">
        <v>0</v>
      </c>
      <c r="C23" s="75">
        <v>0</v>
      </c>
      <c r="D23" s="76">
        <f t="shared" si="0"/>
        <v>0</v>
      </c>
      <c r="E23" s="77" t="str">
        <f t="shared" si="1"/>
        <v>NA</v>
      </c>
      <c r="F23" s="74" t="str">
        <f t="shared" si="2"/>
        <v/>
      </c>
      <c r="G23" s="74"/>
      <c r="H23" s="66"/>
    </row>
    <row r="24" spans="1:17">
      <c r="A24" s="78" t="s">
        <v>86</v>
      </c>
      <c r="B24" s="75">
        <v>41472.65</v>
      </c>
      <c r="C24" s="75">
        <v>36689.199999999997</v>
      </c>
      <c r="D24" s="76">
        <f t="shared" si="0"/>
        <v>4783.4500000000044</v>
      </c>
      <c r="E24" s="77">
        <f t="shared" si="1"/>
        <v>0.88466013143601852</v>
      </c>
      <c r="F24" s="74" t="str">
        <f t="shared" si="2"/>
        <v>adjust</v>
      </c>
      <c r="G24" s="74"/>
      <c r="H24" s="66"/>
    </row>
    <row r="25" spans="1:17">
      <c r="A25" s="78" t="s">
        <v>87</v>
      </c>
      <c r="B25" s="75">
        <v>45663.27</v>
      </c>
      <c r="C25" s="75">
        <v>40285.07</v>
      </c>
      <c r="D25" s="76">
        <f t="shared" si="0"/>
        <v>5378.1999999999971</v>
      </c>
      <c r="E25" s="77">
        <f t="shared" si="1"/>
        <v>0.88222043668795513</v>
      </c>
      <c r="F25" s="74" t="str">
        <f t="shared" si="2"/>
        <v>adjust</v>
      </c>
      <c r="G25" s="74"/>
      <c r="H25" s="66"/>
    </row>
    <row r="26" spans="1:17">
      <c r="A26" s="74" t="s">
        <v>88</v>
      </c>
      <c r="B26" s="75">
        <v>0</v>
      </c>
      <c r="C26" s="75">
        <v>0</v>
      </c>
      <c r="D26" s="76">
        <f t="shared" si="0"/>
        <v>0</v>
      </c>
      <c r="E26" s="77" t="str">
        <f t="shared" si="1"/>
        <v>NA</v>
      </c>
      <c r="F26" s="74" t="str">
        <f t="shared" si="2"/>
        <v/>
      </c>
      <c r="G26" s="74"/>
      <c r="H26" s="66"/>
    </row>
    <row r="27" spans="1:17">
      <c r="A27" s="74" t="s">
        <v>89</v>
      </c>
      <c r="B27" s="76">
        <v>3500</v>
      </c>
      <c r="C27" s="76">
        <v>3500</v>
      </c>
      <c r="D27" s="76">
        <f t="shared" si="0"/>
        <v>0</v>
      </c>
      <c r="E27" s="77">
        <f t="shared" si="1"/>
        <v>1</v>
      </c>
      <c r="F27" s="74" t="str">
        <f t="shared" si="2"/>
        <v/>
      </c>
      <c r="G27" s="74"/>
      <c r="H27" s="66"/>
    </row>
    <row r="28" spans="1:17">
      <c r="A28" s="81" t="s">
        <v>97</v>
      </c>
      <c r="B28" s="76">
        <f>B14+B24+B25</f>
        <v>102006.73</v>
      </c>
      <c r="C28" s="76">
        <f>C14+C24+C25</f>
        <v>91196.37</v>
      </c>
      <c r="D28" s="76">
        <f t="shared" si="0"/>
        <v>10810.36</v>
      </c>
      <c r="E28" s="77">
        <f t="shared" si="1"/>
        <v>0.89402307083071875</v>
      </c>
      <c r="F28" s="79" t="str">
        <f t="shared" si="2"/>
        <v>adjust</v>
      </c>
      <c r="G28" s="74"/>
      <c r="H28" s="66"/>
    </row>
    <row r="29" spans="1:17">
      <c r="A29" s="53"/>
      <c r="B29" s="53"/>
      <c r="C29" s="53"/>
      <c r="D29" s="53"/>
      <c r="E29" s="53"/>
      <c r="F29" s="53"/>
      <c r="G29" s="53"/>
    </row>
    <row r="31" spans="1:17" ht="20.25" thickBot="1">
      <c r="A31" s="50" t="s">
        <v>99</v>
      </c>
      <c r="B31" s="21"/>
      <c r="C31" s="26"/>
      <c r="D31" s="26"/>
      <c r="E31" s="26"/>
      <c r="F31" s="26"/>
      <c r="G31" s="26"/>
      <c r="H31" s="21"/>
      <c r="I31" s="21"/>
      <c r="J31" s="21"/>
      <c r="K31" s="21"/>
      <c r="L31" s="21"/>
      <c r="M31" s="21"/>
      <c r="N31" s="21"/>
      <c r="O31" s="21"/>
      <c r="P31" s="21"/>
      <c r="Q31" s="21"/>
    </row>
    <row r="32" spans="1:17" ht="16.5" thickTop="1">
      <c r="A32" s="1" t="s">
        <v>7</v>
      </c>
      <c r="B32" s="1"/>
      <c r="C32" s="1"/>
      <c r="D32" s="1"/>
      <c r="E32" s="1"/>
      <c r="F32" s="1"/>
      <c r="G32" s="1"/>
      <c r="H32" s="91"/>
      <c r="I32" s="91" t="s">
        <v>108</v>
      </c>
      <c r="J32" s="91"/>
    </row>
    <row r="33" spans="1:27">
      <c r="A33" s="1" t="s">
        <v>34</v>
      </c>
      <c r="B33" s="1"/>
      <c r="C33" s="1"/>
      <c r="D33" s="1"/>
      <c r="E33" s="1"/>
      <c r="F33" s="1"/>
      <c r="G33" s="1"/>
      <c r="H33" s="92"/>
      <c r="I33" s="92"/>
      <c r="J33" s="92"/>
      <c r="K33" t="s">
        <v>37</v>
      </c>
    </row>
    <row r="34" spans="1:27">
      <c r="B34" s="1">
        <v>2015</v>
      </c>
      <c r="C34" s="1">
        <v>2020</v>
      </c>
      <c r="D34" s="1">
        <v>2025</v>
      </c>
      <c r="E34" s="1">
        <v>2030</v>
      </c>
      <c r="F34" s="1">
        <v>2035</v>
      </c>
      <c r="G34" s="1">
        <v>2040</v>
      </c>
      <c r="H34" s="92"/>
      <c r="I34" s="92"/>
      <c r="J34" s="92"/>
      <c r="L34">
        <v>2015</v>
      </c>
      <c r="M34">
        <v>2020</v>
      </c>
      <c r="N34">
        <v>2025</v>
      </c>
      <c r="O34">
        <v>2030</v>
      </c>
      <c r="P34">
        <v>2035</v>
      </c>
      <c r="Q34">
        <v>2040</v>
      </c>
      <c r="T34" t="s">
        <v>100</v>
      </c>
      <c r="U34" t="s">
        <v>101</v>
      </c>
      <c r="V34" t="s">
        <v>102</v>
      </c>
      <c r="W34" t="s">
        <v>103</v>
      </c>
      <c r="Y34" t="s">
        <v>106</v>
      </c>
      <c r="Z34" t="s">
        <v>104</v>
      </c>
      <c r="AA34" t="s">
        <v>105</v>
      </c>
    </row>
    <row r="35" spans="1:27">
      <c r="A35" s="67" t="s">
        <v>75</v>
      </c>
      <c r="B35">
        <v>421.3</v>
      </c>
      <c r="C35">
        <v>8118.91</v>
      </c>
      <c r="D35">
        <v>1011.6</v>
      </c>
      <c r="E35">
        <v>0</v>
      </c>
      <c r="F35">
        <v>0</v>
      </c>
      <c r="G35">
        <v>0</v>
      </c>
      <c r="H35" s="57"/>
      <c r="I35" s="58">
        <v>0.9</v>
      </c>
      <c r="J35" s="54"/>
      <c r="K35" s="67" t="s">
        <v>75</v>
      </c>
      <c r="L35" s="38">
        <f>B35</f>
        <v>421.3</v>
      </c>
      <c r="M35" s="38">
        <f t="shared" ref="M35:O39" si="3">C35*$Y35</f>
        <v>7269.5567248039806</v>
      </c>
      <c r="N35" s="38">
        <f t="shared" si="3"/>
        <v>905.77227519601854</v>
      </c>
      <c r="O35" s="38">
        <f t="shared" si="3"/>
        <v>0</v>
      </c>
      <c r="P35" s="38">
        <v>0</v>
      </c>
      <c r="Q35" s="38">
        <v>0</v>
      </c>
      <c r="S35" s="67" t="s">
        <v>75</v>
      </c>
      <c r="T35" s="30">
        <f>E45</f>
        <v>9551.81</v>
      </c>
      <c r="U35" s="30">
        <f>B35</f>
        <v>421.3</v>
      </c>
      <c r="V35" s="30">
        <f>T35*$I$35</f>
        <v>8596.628999999999</v>
      </c>
      <c r="W35" s="30">
        <f>V35-U35</f>
        <v>8175.3289999999988</v>
      </c>
      <c r="X35" s="30">
        <f>SUM(C35:E35)</f>
        <v>9130.51</v>
      </c>
      <c r="Y35" s="31">
        <f>W35/X35</f>
        <v>0.89538579991698153</v>
      </c>
      <c r="Z35">
        <v>1689.3</v>
      </c>
      <c r="AA35" s="30">
        <f>Z35-U35</f>
        <v>1268</v>
      </c>
    </row>
    <row r="36" spans="1:27">
      <c r="A36" s="67" t="s">
        <v>76</v>
      </c>
      <c r="B36">
        <v>202</v>
      </c>
      <c r="C36">
        <v>13981.8</v>
      </c>
      <c r="D36">
        <v>687.01</v>
      </c>
      <c r="E36">
        <v>0</v>
      </c>
      <c r="F36">
        <v>0</v>
      </c>
      <c r="G36">
        <v>0</v>
      </c>
      <c r="H36" s="57"/>
      <c r="I36" s="55"/>
      <c r="J36" s="55"/>
      <c r="K36" s="67" t="s">
        <v>76</v>
      </c>
      <c r="L36" s="38">
        <f>B36</f>
        <v>202</v>
      </c>
      <c r="M36" s="38">
        <f t="shared" si="3"/>
        <v>12564.36606188232</v>
      </c>
      <c r="N36" s="38">
        <f t="shared" si="3"/>
        <v>617.36293811767962</v>
      </c>
      <c r="O36" s="38">
        <f t="shared" si="3"/>
        <v>0</v>
      </c>
      <c r="P36" s="38">
        <v>0</v>
      </c>
      <c r="Q36" s="38">
        <v>0</v>
      </c>
      <c r="S36" s="67" t="s">
        <v>76</v>
      </c>
      <c r="T36" s="30">
        <f>E46</f>
        <v>14870.81</v>
      </c>
      <c r="U36" s="30">
        <f>B36</f>
        <v>202</v>
      </c>
      <c r="V36" s="30">
        <f>T36*$I$35</f>
        <v>13383.728999999999</v>
      </c>
      <c r="W36" s="30">
        <f>V36-U36</f>
        <v>13181.728999999999</v>
      </c>
      <c r="X36" s="30">
        <f>SUM(C36:E36)</f>
        <v>14668.81</v>
      </c>
      <c r="Y36" s="31">
        <f>W36/X36</f>
        <v>0.89862292851294689</v>
      </c>
      <c r="Z36">
        <v>344</v>
      </c>
      <c r="AA36" s="30">
        <f>Z36-U36</f>
        <v>142</v>
      </c>
    </row>
    <row r="37" spans="1:27">
      <c r="A37" s="67" t="s">
        <v>79</v>
      </c>
      <c r="B37">
        <v>2476.3000000000002</v>
      </c>
      <c r="C37">
        <v>709.8</v>
      </c>
      <c r="D37">
        <v>0</v>
      </c>
      <c r="E37">
        <v>2670.11</v>
      </c>
      <c r="F37">
        <v>5797.39</v>
      </c>
      <c r="G37">
        <v>0</v>
      </c>
      <c r="H37" s="57"/>
      <c r="I37" s="55"/>
      <c r="J37" s="54"/>
      <c r="K37" s="67" t="s">
        <v>79</v>
      </c>
      <c r="L37" s="38">
        <f>B37</f>
        <v>2476.3000000000002</v>
      </c>
      <c r="M37" s="38">
        <f t="shared" si="3"/>
        <v>586.81631528650178</v>
      </c>
      <c r="N37" s="38">
        <f t="shared" si="3"/>
        <v>0</v>
      </c>
      <c r="O37" s="38">
        <f t="shared" si="3"/>
        <v>2207.4726847134989</v>
      </c>
      <c r="P37" s="38">
        <v>0</v>
      </c>
      <c r="Q37" s="38">
        <v>0</v>
      </c>
      <c r="S37" s="67" t="s">
        <v>79</v>
      </c>
      <c r="T37" s="30">
        <f>E47</f>
        <v>5856.2100000000009</v>
      </c>
      <c r="U37" s="30">
        <f>B37</f>
        <v>2476.3000000000002</v>
      </c>
      <c r="V37" s="30">
        <f>T37*$I$35</f>
        <v>5270.5890000000009</v>
      </c>
      <c r="W37" s="30">
        <f>V37-U37</f>
        <v>2794.2890000000007</v>
      </c>
      <c r="X37" s="30">
        <f>SUM(C37:E37)</f>
        <v>3379.91</v>
      </c>
      <c r="Y37" s="31">
        <f>W37/X37</f>
        <v>0.82673473554029564</v>
      </c>
      <c r="Z37">
        <v>3759.3</v>
      </c>
      <c r="AA37" s="30">
        <f>Z37-U37</f>
        <v>1283</v>
      </c>
    </row>
    <row r="38" spans="1:27">
      <c r="A38" s="67" t="s">
        <v>86</v>
      </c>
      <c r="B38">
        <v>0</v>
      </c>
      <c r="C38">
        <v>30063.9</v>
      </c>
      <c r="D38">
        <v>9235.14</v>
      </c>
      <c r="E38">
        <v>2173.62</v>
      </c>
      <c r="F38">
        <v>25133.35</v>
      </c>
      <c r="G38">
        <v>0</v>
      </c>
      <c r="H38" s="59"/>
      <c r="I38" s="55"/>
      <c r="J38" s="54"/>
      <c r="K38" s="67" t="s">
        <v>86</v>
      </c>
      <c r="L38" s="38">
        <f>B38</f>
        <v>0</v>
      </c>
      <c r="M38" s="38">
        <f t="shared" si="3"/>
        <v>27057.510000000006</v>
      </c>
      <c r="N38" s="38">
        <f t="shared" si="3"/>
        <v>8311.6260000000002</v>
      </c>
      <c r="O38" s="38">
        <f t="shared" si="3"/>
        <v>1956.2580000000003</v>
      </c>
      <c r="P38" s="60">
        <v>0</v>
      </c>
      <c r="Q38" s="60">
        <v>0</v>
      </c>
      <c r="S38" s="67" t="s">
        <v>86</v>
      </c>
      <c r="T38" s="30">
        <f>E48</f>
        <v>41472.660000000003</v>
      </c>
      <c r="U38" s="30">
        <f>B38</f>
        <v>0</v>
      </c>
      <c r="V38" s="30">
        <f>T38*$I$35</f>
        <v>37325.394000000008</v>
      </c>
      <c r="W38" s="30">
        <f>V38-U38</f>
        <v>37325.394000000008</v>
      </c>
      <c r="X38" s="30">
        <f>SUM(C38:E38)</f>
        <v>41472.660000000003</v>
      </c>
      <c r="Y38" s="31">
        <f>W38/X38</f>
        <v>0.90000000000000013</v>
      </c>
      <c r="Z38">
        <v>1227</v>
      </c>
      <c r="AA38" s="30">
        <f>Z38-U38</f>
        <v>1227</v>
      </c>
    </row>
    <row r="39" spans="1:27">
      <c r="A39" s="67" t="s">
        <v>87</v>
      </c>
      <c r="B39">
        <v>430</v>
      </c>
      <c r="C39">
        <v>33091.69</v>
      </c>
      <c r="D39">
        <v>0</v>
      </c>
      <c r="E39">
        <v>12141.58</v>
      </c>
      <c r="F39">
        <v>0</v>
      </c>
      <c r="G39">
        <v>0</v>
      </c>
      <c r="H39" s="57"/>
      <c r="I39" s="55"/>
      <c r="J39" s="55"/>
      <c r="K39" s="67" t="s">
        <v>87</v>
      </c>
      <c r="L39" s="38">
        <f>B39</f>
        <v>430</v>
      </c>
      <c r="M39" s="38">
        <f t="shared" si="3"/>
        <v>29751.063122424493</v>
      </c>
      <c r="N39" s="38">
        <f t="shared" si="3"/>
        <v>0</v>
      </c>
      <c r="O39" s="38">
        <f t="shared" si="3"/>
        <v>10915.879877575511</v>
      </c>
      <c r="P39" s="38">
        <v>0</v>
      </c>
      <c r="Q39" s="38">
        <v>0</v>
      </c>
      <c r="S39" s="67" t="s">
        <v>87</v>
      </c>
      <c r="T39" s="30">
        <f>E49</f>
        <v>45663.270000000004</v>
      </c>
      <c r="U39" s="30">
        <f>B39</f>
        <v>430</v>
      </c>
      <c r="V39" s="30">
        <f>T39*$I$35</f>
        <v>41096.943000000007</v>
      </c>
      <c r="W39" s="30">
        <f>V39-U39</f>
        <v>40666.943000000007</v>
      </c>
      <c r="X39" s="30">
        <f>SUM(C39:E39)</f>
        <v>45233.270000000004</v>
      </c>
      <c r="Y39" s="31">
        <f>W39/X39</f>
        <v>0.89904937228725679</v>
      </c>
      <c r="Z39">
        <v>2727</v>
      </c>
      <c r="AA39" s="30">
        <f>Z39-U39</f>
        <v>2297</v>
      </c>
    </row>
    <row r="40" spans="1:27">
      <c r="A40" s="52"/>
      <c r="H40" s="57"/>
      <c r="I40" s="56"/>
      <c r="J40" s="56"/>
      <c r="L40" s="38"/>
      <c r="M40" s="38"/>
      <c r="N40" s="38"/>
      <c r="O40" s="38"/>
      <c r="P40" s="38"/>
      <c r="Q40" s="38"/>
    </row>
    <row r="41" spans="1:27">
      <c r="A41" s="52"/>
      <c r="H41" s="57"/>
      <c r="I41" s="56"/>
      <c r="J41" s="56"/>
      <c r="L41" s="38"/>
      <c r="M41" s="38"/>
      <c r="N41" s="38"/>
      <c r="O41" s="38"/>
      <c r="P41" s="38"/>
      <c r="Q41" s="38"/>
    </row>
    <row r="43" spans="1:27">
      <c r="A43" t="s">
        <v>39</v>
      </c>
      <c r="K43" t="s">
        <v>40</v>
      </c>
      <c r="S43" t="s">
        <v>107</v>
      </c>
    </row>
    <row r="44" spans="1:27">
      <c r="B44" s="1">
        <v>2015</v>
      </c>
      <c r="C44" s="1">
        <v>2020</v>
      </c>
      <c r="D44" s="1">
        <v>2025</v>
      </c>
      <c r="E44" s="1">
        <v>2030</v>
      </c>
      <c r="F44" s="1">
        <v>2035</v>
      </c>
      <c r="G44" s="1">
        <v>2040</v>
      </c>
      <c r="L44">
        <v>2015</v>
      </c>
      <c r="M44">
        <v>2020</v>
      </c>
      <c r="N44">
        <v>2025</v>
      </c>
      <c r="O44">
        <v>2030</v>
      </c>
      <c r="P44">
        <v>2035</v>
      </c>
      <c r="Q44">
        <v>2040</v>
      </c>
      <c r="T44">
        <v>2015</v>
      </c>
      <c r="U44">
        <v>2020</v>
      </c>
      <c r="V44">
        <v>2025</v>
      </c>
      <c r="W44">
        <v>2030</v>
      </c>
      <c r="X44">
        <v>2035</v>
      </c>
      <c r="Y44">
        <v>2040</v>
      </c>
    </row>
    <row r="45" spans="1:27">
      <c r="A45" s="67" t="s">
        <v>75</v>
      </c>
      <c r="B45" s="30">
        <f>SUM($B35:B35)</f>
        <v>421.3</v>
      </c>
      <c r="C45" s="30">
        <f>SUM($B35:C35)</f>
        <v>8540.2099999999991</v>
      </c>
      <c r="D45" s="30">
        <f>SUM($B35:D35)</f>
        <v>9551.81</v>
      </c>
      <c r="E45" s="30">
        <f>SUM($B35:E35)</f>
        <v>9551.81</v>
      </c>
      <c r="F45" s="30">
        <f>SUM($B35:F35)</f>
        <v>9551.81</v>
      </c>
      <c r="G45" s="30">
        <f>SUM($B35:G35)</f>
        <v>9551.81</v>
      </c>
      <c r="K45" s="67" t="s">
        <v>75</v>
      </c>
      <c r="L45" s="30">
        <f>SUM($L35:L35)</f>
        <v>421.3</v>
      </c>
      <c r="M45" s="30">
        <f>L45+M35</f>
        <v>7690.8567248039808</v>
      </c>
      <c r="N45" s="30">
        <f>M45+N35</f>
        <v>8596.628999999999</v>
      </c>
      <c r="O45" s="30">
        <f>N45+O35</f>
        <v>8596.628999999999</v>
      </c>
      <c r="P45" s="30">
        <f>O45+P35</f>
        <v>8596.628999999999</v>
      </c>
      <c r="Q45" s="30">
        <f>P45+Q35</f>
        <v>8596.628999999999</v>
      </c>
      <c r="S45" s="67" t="s">
        <v>75</v>
      </c>
      <c r="T45" s="30">
        <f>L45+$AA35</f>
        <v>1689.3</v>
      </c>
      <c r="U45" s="30">
        <f t="shared" ref="U45:Y49" si="4">M45+$AA35</f>
        <v>8958.8567248039799</v>
      </c>
      <c r="V45" s="30">
        <f t="shared" si="4"/>
        <v>9864.628999999999</v>
      </c>
      <c r="W45" s="30">
        <f t="shared" si="4"/>
        <v>9864.628999999999</v>
      </c>
      <c r="X45" s="30">
        <f t="shared" si="4"/>
        <v>9864.628999999999</v>
      </c>
      <c r="Y45" s="30">
        <f t="shared" si="4"/>
        <v>9864.628999999999</v>
      </c>
    </row>
    <row r="46" spans="1:27">
      <c r="A46" s="67" t="s">
        <v>76</v>
      </c>
      <c r="B46" s="30">
        <f>SUM($B36:B36)</f>
        <v>202</v>
      </c>
      <c r="C46" s="30">
        <f>SUM($B36:C36)</f>
        <v>14183.8</v>
      </c>
      <c r="D46" s="30">
        <f>SUM($B36:D36)</f>
        <v>14870.81</v>
      </c>
      <c r="E46" s="30">
        <f>SUM($B36:E36)</f>
        <v>14870.81</v>
      </c>
      <c r="F46" s="30">
        <f>SUM($B36:F36)</f>
        <v>14870.81</v>
      </c>
      <c r="G46" s="30">
        <f>SUM($B36:G36)</f>
        <v>14870.81</v>
      </c>
      <c r="K46" s="67" t="s">
        <v>76</v>
      </c>
      <c r="L46" s="30">
        <f>SUM($L36:L36)</f>
        <v>202</v>
      </c>
      <c r="M46" s="30">
        <f t="shared" ref="M46:Q49" si="5">L46+M36</f>
        <v>12766.36606188232</v>
      </c>
      <c r="N46" s="30">
        <f t="shared" si="5"/>
        <v>13383.728999999999</v>
      </c>
      <c r="O46" s="30">
        <f t="shared" si="5"/>
        <v>13383.728999999999</v>
      </c>
      <c r="P46" s="30">
        <f t="shared" si="5"/>
        <v>13383.728999999999</v>
      </c>
      <c r="Q46" s="30">
        <f t="shared" si="5"/>
        <v>13383.728999999999</v>
      </c>
      <c r="S46" s="67" t="s">
        <v>76</v>
      </c>
      <c r="T46" s="30">
        <f>L46+$AA36</f>
        <v>344</v>
      </c>
      <c r="U46" s="30">
        <f t="shared" si="4"/>
        <v>12908.36606188232</v>
      </c>
      <c r="V46" s="30">
        <f t="shared" si="4"/>
        <v>13525.728999999999</v>
      </c>
      <c r="W46" s="30">
        <f t="shared" si="4"/>
        <v>13525.728999999999</v>
      </c>
      <c r="X46" s="30">
        <f t="shared" si="4"/>
        <v>13525.728999999999</v>
      </c>
      <c r="Y46" s="30">
        <f t="shared" si="4"/>
        <v>13525.728999999999</v>
      </c>
    </row>
    <row r="47" spans="1:27">
      <c r="A47" s="67" t="s">
        <v>79</v>
      </c>
      <c r="B47" s="30">
        <f>SUM($B37:B37)</f>
        <v>2476.3000000000002</v>
      </c>
      <c r="C47" s="30">
        <f>SUM($B37:C37)</f>
        <v>3186.1000000000004</v>
      </c>
      <c r="D47" s="30">
        <f>SUM($B37:D37)</f>
        <v>3186.1000000000004</v>
      </c>
      <c r="E47" s="30">
        <f>SUM($B37:E37)</f>
        <v>5856.2100000000009</v>
      </c>
      <c r="F47" s="30">
        <f>SUM($B37:F37)</f>
        <v>11653.600000000002</v>
      </c>
      <c r="G47" s="30">
        <f>SUM($B37:G37)</f>
        <v>11653.600000000002</v>
      </c>
      <c r="K47" s="67" t="s">
        <v>79</v>
      </c>
      <c r="L47" s="30">
        <f>SUM($L37:L37)</f>
        <v>2476.3000000000002</v>
      </c>
      <c r="M47" s="30">
        <f t="shared" si="5"/>
        <v>3063.116315286502</v>
      </c>
      <c r="N47" s="30">
        <f t="shared" si="5"/>
        <v>3063.116315286502</v>
      </c>
      <c r="O47" s="30">
        <f t="shared" si="5"/>
        <v>5270.5890000000009</v>
      </c>
      <c r="P47" s="30">
        <f t="shared" si="5"/>
        <v>5270.5890000000009</v>
      </c>
      <c r="Q47" s="30">
        <f t="shared" si="5"/>
        <v>5270.5890000000009</v>
      </c>
      <c r="S47" s="67" t="s">
        <v>79</v>
      </c>
      <c r="T47" s="30">
        <f>L47+$AA37</f>
        <v>3759.3</v>
      </c>
      <c r="U47" s="30">
        <f t="shared" si="4"/>
        <v>4346.116315286502</v>
      </c>
      <c r="V47" s="30">
        <f t="shared" si="4"/>
        <v>4346.116315286502</v>
      </c>
      <c r="W47" s="30">
        <f t="shared" si="4"/>
        <v>6553.5890000000009</v>
      </c>
      <c r="X47" s="30">
        <f t="shared" si="4"/>
        <v>6553.5890000000009</v>
      </c>
      <c r="Y47" s="30">
        <f t="shared" si="4"/>
        <v>6553.5890000000009</v>
      </c>
    </row>
    <row r="48" spans="1:27">
      <c r="A48" s="67" t="s">
        <v>86</v>
      </c>
      <c r="B48" s="30">
        <f>SUM($B38:B38)</f>
        <v>0</v>
      </c>
      <c r="C48" s="30">
        <f>SUM($B38:C38)</f>
        <v>30063.9</v>
      </c>
      <c r="D48" s="30">
        <f>SUM($B38:D38)</f>
        <v>39299.040000000001</v>
      </c>
      <c r="E48" s="30">
        <f>SUM($B38:E38)</f>
        <v>41472.660000000003</v>
      </c>
      <c r="F48" s="30">
        <f>SUM($B38:F38)</f>
        <v>66606.010000000009</v>
      </c>
      <c r="G48" s="30">
        <f>SUM($B38:G38)</f>
        <v>66606.010000000009</v>
      </c>
      <c r="K48" s="67" t="s">
        <v>86</v>
      </c>
      <c r="L48" s="30">
        <f>SUM($L38:L38)</f>
        <v>0</v>
      </c>
      <c r="M48" s="30">
        <f t="shared" si="5"/>
        <v>27057.510000000006</v>
      </c>
      <c r="N48" s="30">
        <f t="shared" si="5"/>
        <v>35369.136000000006</v>
      </c>
      <c r="O48" s="30">
        <f t="shared" si="5"/>
        <v>37325.394000000008</v>
      </c>
      <c r="P48" s="30">
        <f t="shared" si="5"/>
        <v>37325.394000000008</v>
      </c>
      <c r="Q48" s="30">
        <f t="shared" si="5"/>
        <v>37325.394000000008</v>
      </c>
      <c r="S48" s="67" t="s">
        <v>86</v>
      </c>
      <c r="T48" s="30">
        <f>L48+$AA38</f>
        <v>1227</v>
      </c>
      <c r="U48" s="30">
        <f t="shared" si="4"/>
        <v>28284.510000000006</v>
      </c>
      <c r="V48" s="30">
        <f t="shared" si="4"/>
        <v>36596.136000000006</v>
      </c>
      <c r="W48" s="30">
        <f t="shared" si="4"/>
        <v>38552.394000000008</v>
      </c>
      <c r="X48" s="30">
        <f t="shared" si="4"/>
        <v>38552.394000000008</v>
      </c>
      <c r="Y48" s="30">
        <f t="shared" si="4"/>
        <v>38552.394000000008</v>
      </c>
    </row>
    <row r="49" spans="1:25">
      <c r="A49" s="67" t="s">
        <v>87</v>
      </c>
      <c r="B49" s="30">
        <f>SUM($B39:B39)</f>
        <v>430</v>
      </c>
      <c r="C49" s="30">
        <f>SUM($B39:C39)</f>
        <v>33521.69</v>
      </c>
      <c r="D49" s="30">
        <f>SUM($B39:D39)</f>
        <v>33521.69</v>
      </c>
      <c r="E49" s="30">
        <f>SUM($B39:E39)</f>
        <v>45663.270000000004</v>
      </c>
      <c r="F49" s="30">
        <f>SUM($B39:F39)</f>
        <v>45663.270000000004</v>
      </c>
      <c r="G49" s="30">
        <f>SUM($B39:G39)</f>
        <v>45663.270000000004</v>
      </c>
      <c r="K49" s="67" t="s">
        <v>87</v>
      </c>
      <c r="L49" s="30">
        <f>SUM($L39:L39)</f>
        <v>430</v>
      </c>
      <c r="M49" s="30">
        <f t="shared" si="5"/>
        <v>30181.063122424493</v>
      </c>
      <c r="N49" s="30">
        <f t="shared" si="5"/>
        <v>30181.063122424493</v>
      </c>
      <c r="O49" s="30">
        <f t="shared" si="5"/>
        <v>41096.943000000007</v>
      </c>
      <c r="P49" s="30">
        <f t="shared" si="5"/>
        <v>41096.943000000007</v>
      </c>
      <c r="Q49" s="30">
        <f t="shared" si="5"/>
        <v>41096.943000000007</v>
      </c>
      <c r="S49" s="67" t="s">
        <v>87</v>
      </c>
      <c r="T49" s="30">
        <f>L49+$AA39</f>
        <v>2727</v>
      </c>
      <c r="U49" s="30">
        <f t="shared" si="4"/>
        <v>32478.063122424493</v>
      </c>
      <c r="V49" s="30">
        <f t="shared" si="4"/>
        <v>32478.063122424493</v>
      </c>
      <c r="W49" s="30">
        <f t="shared" si="4"/>
        <v>43393.943000000007</v>
      </c>
      <c r="X49" s="30">
        <f t="shared" si="4"/>
        <v>43393.943000000007</v>
      </c>
      <c r="Y49" s="30">
        <f t="shared" si="4"/>
        <v>43393.943000000007</v>
      </c>
    </row>
    <row r="50" spans="1:25">
      <c r="A50" s="67"/>
      <c r="B50" s="30"/>
      <c r="C50" s="30"/>
      <c r="D50" s="30"/>
      <c r="E50" s="30"/>
      <c r="F50" s="30"/>
      <c r="G50" s="30"/>
      <c r="K50" s="67"/>
      <c r="L50" s="30"/>
      <c r="M50" s="30"/>
      <c r="N50" s="30"/>
      <c r="O50" s="30"/>
      <c r="P50" s="30"/>
      <c r="Q50" s="30"/>
      <c r="S50" s="67"/>
      <c r="T50" s="30"/>
      <c r="U50" s="30"/>
      <c r="V50" s="30"/>
      <c r="W50" s="30"/>
      <c r="X50" s="30"/>
      <c r="Y50" s="30"/>
    </row>
    <row r="51" spans="1:25">
      <c r="B51" s="30"/>
      <c r="C51" s="30"/>
      <c r="D51" s="30"/>
      <c r="E51" s="30"/>
      <c r="F51" s="30"/>
      <c r="G51" s="30"/>
      <c r="K51" t="s">
        <v>41</v>
      </c>
      <c r="T51" s="33"/>
      <c r="U51" s="33"/>
      <c r="V51" s="33"/>
      <c r="W51" s="33"/>
      <c r="X51" s="33"/>
      <c r="Y51" s="33"/>
    </row>
    <row r="52" spans="1:25" ht="31.5">
      <c r="A52" s="82"/>
      <c r="B52" s="83" t="s">
        <v>112</v>
      </c>
      <c r="C52" s="83" t="s">
        <v>113</v>
      </c>
      <c r="D52" s="83" t="s">
        <v>114</v>
      </c>
      <c r="E52" s="83" t="s">
        <v>115</v>
      </c>
      <c r="L52">
        <v>2015</v>
      </c>
      <c r="M52">
        <v>2020</v>
      </c>
      <c r="N52">
        <v>2025</v>
      </c>
      <c r="O52">
        <v>2030</v>
      </c>
      <c r="P52">
        <v>2035</v>
      </c>
      <c r="Q52">
        <v>2040</v>
      </c>
    </row>
    <row r="53" spans="1:25">
      <c r="A53" s="84" t="s">
        <v>75</v>
      </c>
      <c r="B53" s="85">
        <v>279490</v>
      </c>
      <c r="C53" s="86">
        <v>0.33900000000000002</v>
      </c>
      <c r="D53" s="87">
        <v>602545</v>
      </c>
      <c r="E53" s="88">
        <v>0.39800000000000002</v>
      </c>
      <c r="F53" s="27"/>
      <c r="K53" s="67" t="s">
        <v>75</v>
      </c>
      <c r="L53" s="38">
        <f t="shared" ref="L53:Q57" si="6">IF(T45&lt;$D53,L35,IF((T45-L35)&gt;$D53,0,$D53-(T45-L35)))</f>
        <v>421.3</v>
      </c>
      <c r="M53" s="38">
        <f t="shared" si="6"/>
        <v>7269.5567248039806</v>
      </c>
      <c r="N53" s="38">
        <f t="shared" si="6"/>
        <v>905.77227519601854</v>
      </c>
      <c r="O53" s="38">
        <f t="shared" si="6"/>
        <v>0</v>
      </c>
      <c r="P53" s="38">
        <f t="shared" si="6"/>
        <v>0</v>
      </c>
      <c r="Q53" s="38">
        <f t="shared" si="6"/>
        <v>0</v>
      </c>
    </row>
    <row r="54" spans="1:25">
      <c r="A54" s="89" t="s">
        <v>76</v>
      </c>
      <c r="B54" s="85">
        <v>417805</v>
      </c>
      <c r="C54" s="86">
        <v>0.35699999999999998</v>
      </c>
      <c r="D54" s="87">
        <v>464227</v>
      </c>
      <c r="E54" s="88">
        <v>0.40500000000000003</v>
      </c>
      <c r="F54" s="27"/>
      <c r="K54" s="67" t="s">
        <v>76</v>
      </c>
      <c r="L54" s="38">
        <f t="shared" si="6"/>
        <v>202</v>
      </c>
      <c r="M54" s="38">
        <f t="shared" si="6"/>
        <v>12564.36606188232</v>
      </c>
      <c r="N54" s="38">
        <f t="shared" si="6"/>
        <v>617.36293811767962</v>
      </c>
      <c r="O54" s="38">
        <f t="shared" si="6"/>
        <v>0</v>
      </c>
      <c r="P54" s="38">
        <f t="shared" si="6"/>
        <v>0</v>
      </c>
      <c r="Q54" s="38">
        <f t="shared" si="6"/>
        <v>0</v>
      </c>
    </row>
    <row r="55" spans="1:25">
      <c r="A55" s="89" t="s">
        <v>79</v>
      </c>
      <c r="B55" s="85">
        <v>12648</v>
      </c>
      <c r="C55" s="86">
        <v>0.28199999999999997</v>
      </c>
      <c r="D55" s="87">
        <v>837</v>
      </c>
      <c r="E55" s="88">
        <v>0.33100000000000002</v>
      </c>
      <c r="F55" s="27"/>
      <c r="K55" s="67" t="s">
        <v>79</v>
      </c>
      <c r="L55" s="38">
        <f t="shared" si="6"/>
        <v>0</v>
      </c>
      <c r="M55" s="38">
        <f t="shared" si="6"/>
        <v>0</v>
      </c>
      <c r="N55" s="38">
        <f t="shared" si="6"/>
        <v>0</v>
      </c>
      <c r="O55" s="38">
        <f t="shared" si="6"/>
        <v>0</v>
      </c>
      <c r="P55" s="38">
        <f t="shared" si="6"/>
        <v>0</v>
      </c>
      <c r="Q55" s="38">
        <f t="shared" si="6"/>
        <v>0</v>
      </c>
    </row>
    <row r="56" spans="1:25">
      <c r="A56" s="89" t="s">
        <v>86</v>
      </c>
      <c r="B56" s="85">
        <v>292779</v>
      </c>
      <c r="C56" s="86">
        <v>0.33</v>
      </c>
      <c r="D56" s="87">
        <v>597665</v>
      </c>
      <c r="E56" s="88">
        <v>0.39200000000000002</v>
      </c>
      <c r="F56" s="27"/>
      <c r="K56" s="67" t="s">
        <v>86</v>
      </c>
      <c r="L56" s="38">
        <f t="shared" si="6"/>
        <v>0</v>
      </c>
      <c r="M56" s="38">
        <f t="shared" si="6"/>
        <v>27057.510000000006</v>
      </c>
      <c r="N56" s="38">
        <f t="shared" si="6"/>
        <v>8311.6260000000002</v>
      </c>
      <c r="O56" s="38">
        <f t="shared" si="6"/>
        <v>1956.2580000000003</v>
      </c>
      <c r="P56" s="38">
        <f t="shared" si="6"/>
        <v>0</v>
      </c>
      <c r="Q56" s="38">
        <f t="shared" si="6"/>
        <v>0</v>
      </c>
    </row>
    <row r="57" spans="1:25">
      <c r="A57" s="90" t="s">
        <v>87</v>
      </c>
      <c r="B57" s="85">
        <v>420353</v>
      </c>
      <c r="C57" s="86">
        <v>0.34399999999999997</v>
      </c>
      <c r="D57" s="87">
        <v>496536</v>
      </c>
      <c r="E57" s="88">
        <v>0.39200000000000002</v>
      </c>
      <c r="F57" s="27"/>
      <c r="K57" s="67" t="s">
        <v>87</v>
      </c>
      <c r="L57" s="38">
        <f t="shared" si="6"/>
        <v>430</v>
      </c>
      <c r="M57" s="38">
        <f t="shared" si="6"/>
        <v>29751.063122424493</v>
      </c>
      <c r="N57" s="38">
        <f t="shared" si="6"/>
        <v>0</v>
      </c>
      <c r="O57" s="38">
        <f t="shared" si="6"/>
        <v>10915.879877575511</v>
      </c>
      <c r="P57" s="38">
        <f t="shared" si="6"/>
        <v>0</v>
      </c>
      <c r="Q57" s="38">
        <f t="shared" si="6"/>
        <v>0</v>
      </c>
    </row>
    <row r="58" spans="1:25">
      <c r="B58" s="41"/>
      <c r="D58" s="30"/>
      <c r="L58" s="33"/>
      <c r="M58" s="33"/>
      <c r="N58" s="33"/>
      <c r="O58" s="33"/>
      <c r="P58" s="33">
        <f>SUM(P53:P57)</f>
        <v>0</v>
      </c>
      <c r="Q58" s="33">
        <f>SUM(Q53:Q57)</f>
        <v>0</v>
      </c>
    </row>
    <row r="60" spans="1:25">
      <c r="K60" t="s">
        <v>42</v>
      </c>
    </row>
    <row r="61" spans="1:25">
      <c r="L61">
        <v>2015</v>
      </c>
      <c r="M61">
        <v>2020</v>
      </c>
      <c r="N61">
        <v>2025</v>
      </c>
      <c r="O61">
        <v>2030</v>
      </c>
      <c r="P61">
        <v>2035</v>
      </c>
      <c r="Q61">
        <v>2040</v>
      </c>
    </row>
    <row r="62" spans="1:25">
      <c r="K62" s="67" t="s">
        <v>75</v>
      </c>
      <c r="L62" s="1">
        <f>SUM($L53:L53)</f>
        <v>421.3</v>
      </c>
      <c r="M62" s="1">
        <f>SUM($L53:M53)</f>
        <v>7690.8567248039808</v>
      </c>
      <c r="N62" s="1">
        <f>SUM($L53:N53)</f>
        <v>8596.628999999999</v>
      </c>
      <c r="O62" s="1">
        <f>SUM($L53:O53)</f>
        <v>8596.628999999999</v>
      </c>
      <c r="P62" s="1">
        <f>SUM($L53:P53)</f>
        <v>8596.628999999999</v>
      </c>
      <c r="Q62" s="1">
        <f>SUM($L53:Q53)</f>
        <v>8596.628999999999</v>
      </c>
    </row>
    <row r="63" spans="1:25">
      <c r="K63" s="67" t="s">
        <v>76</v>
      </c>
      <c r="L63" s="1">
        <f>SUM($L54:L54)</f>
        <v>202</v>
      </c>
      <c r="M63" s="1">
        <f>SUM($L54:M54)</f>
        <v>12766.36606188232</v>
      </c>
      <c r="N63" s="1">
        <f>SUM($L54:N54)</f>
        <v>13383.728999999999</v>
      </c>
      <c r="O63" s="1">
        <f>SUM($L54:O54)</f>
        <v>13383.728999999999</v>
      </c>
      <c r="P63" s="1">
        <f>SUM($L54:P54)</f>
        <v>13383.728999999999</v>
      </c>
      <c r="Q63" s="1">
        <f>SUM($L54:Q54)</f>
        <v>13383.728999999999</v>
      </c>
    </row>
    <row r="64" spans="1:25">
      <c r="K64" s="67" t="s">
        <v>79</v>
      </c>
      <c r="L64" s="1">
        <f>SUM($L55:L55)</f>
        <v>0</v>
      </c>
      <c r="M64" s="1">
        <f>SUM($L55:M55)</f>
        <v>0</v>
      </c>
      <c r="N64" s="1">
        <f>SUM($L55:N55)</f>
        <v>0</v>
      </c>
      <c r="O64" s="1">
        <f>SUM($L55:O55)</f>
        <v>0</v>
      </c>
      <c r="P64" s="1">
        <f>SUM($L55:P55)</f>
        <v>0</v>
      </c>
      <c r="Q64" s="1">
        <f>SUM($L55:Q55)</f>
        <v>0</v>
      </c>
    </row>
    <row r="65" spans="11:17">
      <c r="K65" s="67" t="s">
        <v>86</v>
      </c>
      <c r="L65" s="1">
        <f>SUM($L56:L56)</f>
        <v>0</v>
      </c>
      <c r="M65" s="1">
        <f>SUM($L56:M56)</f>
        <v>27057.510000000006</v>
      </c>
      <c r="N65" s="1">
        <f>SUM($L56:N56)</f>
        <v>35369.136000000006</v>
      </c>
      <c r="O65" s="1">
        <f>SUM($L56:O56)</f>
        <v>37325.394000000008</v>
      </c>
      <c r="P65" s="1">
        <f>SUM($L56:P56)</f>
        <v>37325.394000000008</v>
      </c>
      <c r="Q65" s="1">
        <f>SUM($L56:Q56)</f>
        <v>37325.394000000008</v>
      </c>
    </row>
    <row r="66" spans="11:17">
      <c r="K66" s="67" t="s">
        <v>87</v>
      </c>
      <c r="L66" s="1">
        <f>SUM($L57:L57)</f>
        <v>430</v>
      </c>
      <c r="M66" s="1">
        <f>SUM($L57:M57)</f>
        <v>30181.063122424493</v>
      </c>
      <c r="N66" s="1">
        <f>SUM($L57:N57)</f>
        <v>30181.063122424493</v>
      </c>
      <c r="O66" s="1">
        <f>SUM($L57:O57)</f>
        <v>41096.943000000007</v>
      </c>
      <c r="P66" s="1">
        <f>SUM($L57:P57)</f>
        <v>41096.943000000007</v>
      </c>
      <c r="Q66" s="1">
        <f>SUM($L57:Q57)</f>
        <v>41096.943000000007</v>
      </c>
    </row>
    <row r="67" spans="11:17">
      <c r="L67" s="33"/>
      <c r="M67" s="33"/>
      <c r="N67" s="33"/>
      <c r="O67" s="33"/>
      <c r="P67" s="33"/>
      <c r="Q67" s="33"/>
    </row>
    <row r="69" spans="11:17">
      <c r="K69" t="s">
        <v>43</v>
      </c>
    </row>
    <row r="70" spans="11:17">
      <c r="L70">
        <v>2015</v>
      </c>
      <c r="M70">
        <v>2020</v>
      </c>
      <c r="N70">
        <v>2025</v>
      </c>
      <c r="O70">
        <v>2030</v>
      </c>
      <c r="P70">
        <v>2035</v>
      </c>
      <c r="Q70">
        <v>2040</v>
      </c>
    </row>
    <row r="71" spans="11:17">
      <c r="K71" s="67" t="s">
        <v>75</v>
      </c>
      <c r="L71" s="38">
        <f t="shared" ref="L71:Q75" si="7">L35-L53</f>
        <v>0</v>
      </c>
      <c r="M71" s="38">
        <f t="shared" si="7"/>
        <v>0</v>
      </c>
      <c r="N71" s="38">
        <f t="shared" si="7"/>
        <v>0</v>
      </c>
      <c r="O71" s="38">
        <f t="shared" si="7"/>
        <v>0</v>
      </c>
      <c r="P71" s="38">
        <f t="shared" si="7"/>
        <v>0</v>
      </c>
      <c r="Q71" s="38">
        <f t="shared" si="7"/>
        <v>0</v>
      </c>
    </row>
    <row r="72" spans="11:17">
      <c r="K72" s="67" t="s">
        <v>76</v>
      </c>
      <c r="L72" s="38">
        <f t="shared" si="7"/>
        <v>0</v>
      </c>
      <c r="M72" s="38">
        <f t="shared" si="7"/>
        <v>0</v>
      </c>
      <c r="N72" s="38">
        <f t="shared" si="7"/>
        <v>0</v>
      </c>
      <c r="O72" s="38">
        <f t="shared" si="7"/>
        <v>0</v>
      </c>
      <c r="P72" s="38">
        <f t="shared" si="7"/>
        <v>0</v>
      </c>
      <c r="Q72" s="38">
        <f t="shared" si="7"/>
        <v>0</v>
      </c>
    </row>
    <row r="73" spans="11:17">
      <c r="K73" s="67" t="s">
        <v>79</v>
      </c>
      <c r="L73" s="38">
        <f t="shared" si="7"/>
        <v>2476.3000000000002</v>
      </c>
      <c r="M73" s="38">
        <f t="shared" si="7"/>
        <v>586.81631528650178</v>
      </c>
      <c r="N73" s="38">
        <f t="shared" si="7"/>
        <v>0</v>
      </c>
      <c r="O73" s="38">
        <f t="shared" si="7"/>
        <v>2207.4726847134989</v>
      </c>
      <c r="P73" s="38">
        <f t="shared" si="7"/>
        <v>0</v>
      </c>
      <c r="Q73" s="38">
        <f t="shared" si="7"/>
        <v>0</v>
      </c>
    </row>
    <row r="74" spans="11:17">
      <c r="K74" s="67" t="s">
        <v>86</v>
      </c>
      <c r="L74" s="38">
        <f t="shared" si="7"/>
        <v>0</v>
      </c>
      <c r="M74" s="38">
        <f t="shared" si="7"/>
        <v>0</v>
      </c>
      <c r="N74" s="38">
        <f t="shared" si="7"/>
        <v>0</v>
      </c>
      <c r="O74" s="38">
        <f t="shared" si="7"/>
        <v>0</v>
      </c>
      <c r="P74" s="38">
        <f t="shared" si="7"/>
        <v>0</v>
      </c>
      <c r="Q74" s="38">
        <f t="shared" si="7"/>
        <v>0</v>
      </c>
    </row>
    <row r="75" spans="11:17">
      <c r="K75" s="67" t="s">
        <v>87</v>
      </c>
      <c r="L75" s="38">
        <f t="shared" si="7"/>
        <v>0</v>
      </c>
      <c r="M75" s="38">
        <f t="shared" si="7"/>
        <v>0</v>
      </c>
      <c r="N75" s="38">
        <f t="shared" si="7"/>
        <v>0</v>
      </c>
      <c r="O75" s="38">
        <f t="shared" si="7"/>
        <v>0</v>
      </c>
      <c r="P75" s="38">
        <f t="shared" si="7"/>
        <v>0</v>
      </c>
      <c r="Q75" s="38">
        <f t="shared" si="7"/>
        <v>0</v>
      </c>
    </row>
    <row r="76" spans="11:17">
      <c r="L76" s="33"/>
      <c r="M76" s="33"/>
      <c r="N76" s="33"/>
      <c r="O76" s="33"/>
      <c r="P76" s="33">
        <f>SUM(P71:P75)</f>
        <v>0</v>
      </c>
      <c r="Q76" s="33">
        <f>SUM(Q71:Q75)</f>
        <v>0</v>
      </c>
    </row>
    <row r="78" spans="11:17">
      <c r="K78" t="s">
        <v>44</v>
      </c>
    </row>
    <row r="79" spans="11:17">
      <c r="L79">
        <v>2015</v>
      </c>
      <c r="M79">
        <v>2020</v>
      </c>
      <c r="N79">
        <v>2025</v>
      </c>
      <c r="O79">
        <v>2030</v>
      </c>
      <c r="P79">
        <v>2035</v>
      </c>
      <c r="Q79">
        <v>2040</v>
      </c>
    </row>
    <row r="80" spans="11:17">
      <c r="K80" s="67" t="s">
        <v>75</v>
      </c>
      <c r="L80" s="1">
        <f>SUM($L71:L71)</f>
        <v>0</v>
      </c>
      <c r="M80" s="1">
        <f>SUM($L71:M71)</f>
        <v>0</v>
      </c>
      <c r="N80" s="1">
        <f>SUM($L71:N71)</f>
        <v>0</v>
      </c>
      <c r="O80" s="1">
        <f>SUM($L71:O71)</f>
        <v>0</v>
      </c>
      <c r="P80" s="1">
        <f>SUM($L71:P71)</f>
        <v>0</v>
      </c>
      <c r="Q80" s="1">
        <f>SUM($L71:Q71)</f>
        <v>0</v>
      </c>
    </row>
    <row r="81" spans="11:17">
      <c r="K81" s="67" t="s">
        <v>76</v>
      </c>
      <c r="L81" s="1">
        <f>SUM($L72:L72)</f>
        <v>0</v>
      </c>
      <c r="M81" s="1">
        <f>SUM($L72:M72)</f>
        <v>0</v>
      </c>
      <c r="N81" s="1">
        <f>SUM($L72:N72)</f>
        <v>0</v>
      </c>
      <c r="O81" s="1">
        <f>SUM($L72:O72)</f>
        <v>0</v>
      </c>
      <c r="P81" s="1">
        <f>SUM($L72:P72)</f>
        <v>0</v>
      </c>
      <c r="Q81" s="1">
        <f>SUM($L72:Q72)</f>
        <v>0</v>
      </c>
    </row>
    <row r="82" spans="11:17">
      <c r="K82" s="67" t="s">
        <v>79</v>
      </c>
      <c r="L82" s="1">
        <f>SUM($L73:L73)</f>
        <v>2476.3000000000002</v>
      </c>
      <c r="M82" s="1">
        <f>SUM($L73:M73)</f>
        <v>3063.116315286502</v>
      </c>
      <c r="N82" s="1">
        <f>SUM($L73:N73)</f>
        <v>3063.116315286502</v>
      </c>
      <c r="O82" s="1">
        <f>SUM($L73:O73)</f>
        <v>5270.5890000000009</v>
      </c>
      <c r="P82" s="1">
        <f>SUM($L73:P73)</f>
        <v>5270.5890000000009</v>
      </c>
      <c r="Q82" s="1">
        <f>SUM($L73:Q73)</f>
        <v>5270.5890000000009</v>
      </c>
    </row>
    <row r="83" spans="11:17">
      <c r="K83" s="67" t="s">
        <v>86</v>
      </c>
      <c r="L83" s="1">
        <f>SUM($L74:L74)</f>
        <v>0</v>
      </c>
      <c r="M83" s="1">
        <f>SUM($L74:M74)</f>
        <v>0</v>
      </c>
      <c r="N83" s="1">
        <f>SUM($L74:N74)</f>
        <v>0</v>
      </c>
      <c r="O83" s="1">
        <f>SUM($L74:O74)</f>
        <v>0</v>
      </c>
      <c r="P83" s="1">
        <f>SUM($L74:P74)</f>
        <v>0</v>
      </c>
      <c r="Q83" s="1">
        <f>SUM($L74:Q74)</f>
        <v>0</v>
      </c>
    </row>
    <row r="84" spans="11:17">
      <c r="K84" s="67" t="s">
        <v>87</v>
      </c>
      <c r="L84" s="1">
        <f>SUM($L75:L75)</f>
        <v>0</v>
      </c>
      <c r="M84" s="1">
        <f>SUM($L75:M75)</f>
        <v>0</v>
      </c>
      <c r="N84" s="1">
        <f>SUM($L75:N75)</f>
        <v>0</v>
      </c>
      <c r="O84" s="1">
        <f>SUM($L75:O75)</f>
        <v>0</v>
      </c>
      <c r="P84" s="1">
        <f>SUM($L75:P75)</f>
        <v>0</v>
      </c>
      <c r="Q84" s="1">
        <f>SUM($L75:Q75)</f>
        <v>0</v>
      </c>
    </row>
    <row r="85" spans="11:17">
      <c r="L85" s="51"/>
      <c r="M85" s="51"/>
      <c r="N85" s="51"/>
      <c r="O85" s="51"/>
      <c r="P85" s="51"/>
      <c r="Q85" s="51"/>
    </row>
    <row r="86" spans="11:17">
      <c r="L86" s="39"/>
      <c r="M86" s="39"/>
      <c r="N86" s="39"/>
      <c r="O86" s="39"/>
      <c r="P86" s="39"/>
      <c r="Q86" s="39"/>
    </row>
  </sheetData>
  <mergeCells count="3">
    <mergeCell ref="H32:H34"/>
    <mergeCell ref="I32:I34"/>
    <mergeCell ref="J32:J34"/>
  </mergeCells>
  <phoneticPr fontId="8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Q9"/>
  <sheetViews>
    <sheetView zoomScale="75" workbookViewId="0">
      <selection activeCell="H11" sqref="H11"/>
    </sheetView>
  </sheetViews>
  <sheetFormatPr defaultRowHeight="15.75"/>
  <sheetData>
    <row r="2" spans="1:17" ht="20.25" thickBot="1">
      <c r="A2" s="50" t="s">
        <v>67</v>
      </c>
      <c r="B2" s="21"/>
      <c r="C2" s="26"/>
      <c r="D2" s="26"/>
      <c r="E2" s="26"/>
      <c r="F2" s="26"/>
      <c r="G2" s="26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16.5" thickTop="1">
      <c r="A3" t="s">
        <v>7</v>
      </c>
      <c r="B3" s="39"/>
      <c r="C3" s="39"/>
      <c r="D3" s="39"/>
      <c r="E3" s="39"/>
      <c r="F3" s="39"/>
      <c r="G3" s="39"/>
      <c r="L3" s="39"/>
      <c r="M3" s="39"/>
      <c r="N3" s="39"/>
      <c r="O3" s="39"/>
      <c r="P3" s="39"/>
      <c r="Q3" s="39"/>
    </row>
    <row r="4" spans="1:17">
      <c r="A4" t="s">
        <v>34</v>
      </c>
      <c r="B4" s="39"/>
      <c r="C4" s="39"/>
      <c r="D4" s="39"/>
      <c r="E4" s="39"/>
      <c r="F4" s="39"/>
      <c r="G4" s="39"/>
      <c r="I4" s="40" t="s">
        <v>62</v>
      </c>
      <c r="K4" t="s">
        <v>70</v>
      </c>
      <c r="L4" s="39"/>
      <c r="M4" s="39"/>
      <c r="N4" s="39"/>
      <c r="O4" s="39"/>
      <c r="P4" s="39"/>
      <c r="Q4" s="39"/>
    </row>
    <row r="5" spans="1:17">
      <c r="B5">
        <v>2015</v>
      </c>
      <c r="C5">
        <v>2020</v>
      </c>
      <c r="D5">
        <v>2025</v>
      </c>
      <c r="E5">
        <v>2030</v>
      </c>
      <c r="F5">
        <v>2035</v>
      </c>
      <c r="G5">
        <v>2040</v>
      </c>
      <c r="I5" s="28">
        <v>0.9</v>
      </c>
      <c r="L5">
        <v>2015</v>
      </c>
      <c r="M5">
        <v>2020</v>
      </c>
      <c r="N5">
        <v>2025</v>
      </c>
      <c r="O5">
        <v>2030</v>
      </c>
      <c r="P5">
        <v>2035</v>
      </c>
      <c r="Q5">
        <v>2040</v>
      </c>
    </row>
    <row r="6" spans="1:17">
      <c r="A6" t="s">
        <v>66</v>
      </c>
      <c r="B6">
        <v>0</v>
      </c>
      <c r="C6">
        <v>0</v>
      </c>
      <c r="D6">
        <v>0</v>
      </c>
      <c r="E6">
        <v>0</v>
      </c>
      <c r="F6">
        <v>0</v>
      </c>
      <c r="G6">
        <v>1848</v>
      </c>
      <c r="K6" t="s">
        <v>66</v>
      </c>
      <c r="L6">
        <f t="shared" ref="L6:Q9" si="0">B6*$I$5</f>
        <v>0</v>
      </c>
      <c r="M6">
        <f t="shared" si="0"/>
        <v>0</v>
      </c>
      <c r="N6">
        <f t="shared" si="0"/>
        <v>0</v>
      </c>
      <c r="O6">
        <f t="shared" si="0"/>
        <v>0</v>
      </c>
      <c r="P6">
        <f t="shared" si="0"/>
        <v>0</v>
      </c>
      <c r="Q6">
        <f t="shared" si="0"/>
        <v>1663.2</v>
      </c>
    </row>
    <row r="7" spans="1:17">
      <c r="A7" t="s">
        <v>63</v>
      </c>
      <c r="B7">
        <v>0</v>
      </c>
      <c r="C7">
        <v>0</v>
      </c>
      <c r="D7">
        <v>0</v>
      </c>
      <c r="E7">
        <v>0</v>
      </c>
      <c r="F7">
        <v>0</v>
      </c>
      <c r="G7">
        <v>1118.95</v>
      </c>
      <c r="K7" t="s">
        <v>63</v>
      </c>
      <c r="L7">
        <f t="shared" si="0"/>
        <v>0</v>
      </c>
      <c r="M7">
        <f t="shared" si="0"/>
        <v>0</v>
      </c>
      <c r="N7">
        <f t="shared" si="0"/>
        <v>0</v>
      </c>
      <c r="O7">
        <f t="shared" si="0"/>
        <v>0</v>
      </c>
      <c r="P7">
        <f t="shared" si="0"/>
        <v>0</v>
      </c>
      <c r="Q7">
        <f t="shared" si="0"/>
        <v>1007.0550000000001</v>
      </c>
    </row>
    <row r="8" spans="1:17">
      <c r="A8" t="s">
        <v>64</v>
      </c>
      <c r="B8">
        <v>0</v>
      </c>
      <c r="C8">
        <v>0</v>
      </c>
      <c r="D8">
        <v>0</v>
      </c>
      <c r="E8">
        <v>0</v>
      </c>
      <c r="F8">
        <v>941.07</v>
      </c>
      <c r="G8">
        <v>1391.98</v>
      </c>
      <c r="K8" t="s">
        <v>64</v>
      </c>
      <c r="L8">
        <f t="shared" si="0"/>
        <v>0</v>
      </c>
      <c r="M8">
        <f t="shared" si="0"/>
        <v>0</v>
      </c>
      <c r="N8">
        <f t="shared" si="0"/>
        <v>0</v>
      </c>
      <c r="O8">
        <f t="shared" si="0"/>
        <v>0</v>
      </c>
      <c r="P8">
        <f t="shared" si="0"/>
        <v>846.96300000000008</v>
      </c>
      <c r="Q8">
        <f t="shared" si="0"/>
        <v>1252.7820000000002</v>
      </c>
    </row>
    <row r="9" spans="1:17">
      <c r="A9" t="s">
        <v>65</v>
      </c>
      <c r="B9">
        <v>0</v>
      </c>
      <c r="C9">
        <v>0</v>
      </c>
      <c r="D9">
        <v>0</v>
      </c>
      <c r="E9">
        <v>0</v>
      </c>
      <c r="F9">
        <v>0</v>
      </c>
      <c r="G9">
        <v>500</v>
      </c>
      <c r="K9" t="s">
        <v>65</v>
      </c>
      <c r="L9">
        <f t="shared" si="0"/>
        <v>0</v>
      </c>
      <c r="M9">
        <f t="shared" si="0"/>
        <v>0</v>
      </c>
      <c r="N9">
        <f t="shared" si="0"/>
        <v>0</v>
      </c>
      <c r="O9">
        <f t="shared" si="0"/>
        <v>0</v>
      </c>
      <c r="P9">
        <f t="shared" si="0"/>
        <v>0</v>
      </c>
      <c r="Q9">
        <f t="shared" si="0"/>
        <v>450</v>
      </c>
    </row>
  </sheetData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F1 and F6 Fix</vt:lpstr>
      <vt:lpstr>F8 MISO</vt:lpstr>
      <vt:lpstr>F8 non-MISO Wind</vt:lpstr>
      <vt:lpstr>F8 HQ Maritimes</vt:lpstr>
    </vt:vector>
  </TitlesOfParts>
  <Company>Oak Ridge National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Stanton Hadley</dc:creator>
  <cp:lastModifiedBy>ruthvt</cp:lastModifiedBy>
  <dcterms:created xsi:type="dcterms:W3CDTF">2011-09-27T17:42:10Z</dcterms:created>
  <dcterms:modified xsi:type="dcterms:W3CDTF">2011-10-18T19:51:02Z</dcterms:modified>
</cp:coreProperties>
</file>